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373" activeTab="0"/>
  </bookViews>
  <sheets>
    <sheet name="Enero-Marzo" sheetId="1" r:id="rId1"/>
    <sheet name="Abril-Junio" sheetId="2" r:id="rId2"/>
    <sheet name="Julio-Septiembre" sheetId="3" r:id="rId3"/>
    <sheet name="Octubre-Diciembre" sheetId="4" r:id="rId4"/>
    <sheet name="Año 2011" sheetId="5" r:id="rId5"/>
    <sheet name="DETALLES" sheetId="6" r:id="rId6"/>
    <sheet name="DataPilot_DETALLES_1" sheetId="7" r:id="rId7"/>
  </sheets>
  <definedNames>
    <definedName name="_xlnm.Print_Area" localSheetId="1">'Abril-Junio'!$A$1:$X$71</definedName>
    <definedName name="_xlnm.Print_Area" localSheetId="4">'Año 2011'!$A$1:$R$66</definedName>
    <definedName name="_xlnm.Print_Area" localSheetId="6">'DataPilot_DETALLES_1'!$A$1:$Q$18</definedName>
    <definedName name="_xlnm.Print_Area" localSheetId="5">'DETALLES'!$A$1:$AK$179</definedName>
    <definedName name="_xlnm.Print_Area" localSheetId="0">'Enero-Marzo'!$A$1:$X$70</definedName>
    <definedName name="Excel_BuiltIn_Print_Area_2_1">'Abril-Junio'!$A$1:$W$71</definedName>
    <definedName name="Excel_BuiltIn_Print_Area_2_1_1">'DETALLES'!$A$1:$S$180</definedName>
    <definedName name="Excel_BuiltIn_Print_Area_3_1">'DETALLES'!$A$1:$I$179</definedName>
    <definedName name="Excel_BuiltIn_Print_Area_3_1_1_1">'DETALLES'!$A$1:$Z$179</definedName>
    <definedName name="Excel_BuiltIn_Print_Area_4_1">'DETALLES'!$A$1:$N$179</definedName>
    <definedName name="Excel_BuiltIn_Print_Area_4_1_1">'DETALLES'!$A$1:$S$179</definedName>
    <definedName name="Excel_BuiltIn_Print_Area_51">'Año 2011'!$A$1:$S$66</definedName>
    <definedName name="Excel_BuiltIn_Print_Area_6_1">'DETALLES'!$A$1:$AA$179</definedName>
    <definedName name="Excel_BuiltIn_Print_Titles_3_1">'DETALLES'!$A$1:$A$5</definedName>
    <definedName name="Excel_BuiltIn_Print_Titles_3_1_1">'DETALLES'!$A$1:$IP$5</definedName>
    <definedName name="Excel_BuiltIn_Print_Titles_4_1">'DETALLES'!$A$1:$IT$5</definedName>
    <definedName name="Excel_BuiltIn_Print_Titles_4_1_1">'DETALLES'!$A$1:$IQ$5</definedName>
    <definedName name="_xlnm.Print_Titles" localSheetId="5">'DETALLES'!$1:$5</definedName>
  </definedNames>
  <calcPr fullCalcOnLoad="1"/>
  <pivotCaches>
    <pivotCache cacheId="1" r:id="rId8"/>
  </pivotCaches>
</workbook>
</file>

<file path=xl/comments6.xml><?xml version="1.0" encoding="utf-8"?>
<comments xmlns="http://schemas.openxmlformats.org/spreadsheetml/2006/main">
  <authors>
    <author/>
  </authors>
  <commentList>
    <comment ref="M5" authorId="0">
      <text>
        <r>
          <rPr>
            <sz val="10"/>
            <rFont val="Arial"/>
            <family val="0"/>
          </rPr>
          <t>Incluyen los Trabajadores sociales, Investigadores públicos y empleados de la Defensa Pública</t>
        </r>
      </text>
    </comment>
    <comment ref="J53" authorId="0">
      <text>
        <r>
          <rPr>
            <b/>
            <sz val="8"/>
            <color indexed="8"/>
            <rFont val="Tahoma"/>
            <family val="2"/>
          </rPr>
          <t xml:space="preserve">gdiaz:
</t>
        </r>
        <r>
          <rPr>
            <sz val="8"/>
            <color indexed="8"/>
            <rFont val="Tahoma"/>
            <family val="2"/>
          </rPr>
          <t>Incluyen los 5 internacionales y los docentes Universitarios</t>
        </r>
      </text>
    </comment>
    <comment ref="J54" authorId="0">
      <text>
        <r>
          <rPr>
            <b/>
            <sz val="8"/>
            <color indexed="8"/>
            <rFont val="Tahoma"/>
            <family val="2"/>
          </rPr>
          <t xml:space="preserve">gdiaz:
</t>
        </r>
        <r>
          <rPr>
            <sz val="8"/>
            <color indexed="8"/>
            <rFont val="Tahoma"/>
            <family val="2"/>
          </rPr>
          <t>Incluyen los 5 internacionales y los docentes Universitarios</t>
        </r>
      </text>
    </comment>
    <comment ref="O56" authorId="0">
      <text>
        <r>
          <rPr>
            <b/>
            <sz val="8"/>
            <color indexed="8"/>
            <rFont val="Tahoma"/>
            <family val="2"/>
          </rPr>
          <t xml:space="preserve">gdiaz:
</t>
        </r>
        <r>
          <rPr>
            <sz val="8"/>
            <color indexed="8"/>
            <rFont val="Tahoma"/>
            <family val="2"/>
          </rPr>
          <t>Empleados de la Defensa Pública</t>
        </r>
      </text>
    </comment>
    <comment ref="B71" authorId="0">
      <text>
        <r>
          <rPr>
            <b/>
            <sz val="8"/>
            <color indexed="8"/>
            <rFont val="Tahoma"/>
            <family val="2"/>
          </rPr>
          <t xml:space="preserve">gdiaz:
</t>
        </r>
        <r>
          <rPr>
            <sz val="8"/>
            <color indexed="8"/>
            <rFont val="Tahoma"/>
            <family val="2"/>
          </rPr>
          <t>Aunque está en este trimestre, aun no ha finalizado.</t>
        </r>
      </text>
    </comment>
    <comment ref="G121" authorId="0">
      <text>
        <r>
          <rPr>
            <sz val="10"/>
            <rFont val="Arial"/>
            <family val="0"/>
          </rPr>
          <t>Un grupo de 70 horas y otro de 35</t>
        </r>
      </text>
    </comment>
    <comment ref="D149" authorId="0">
      <text>
        <r>
          <rPr>
            <sz val="10"/>
            <rFont val="Arial"/>
            <family val="0"/>
          </rPr>
          <t>3 encuentros, 12, 19 y 26 de octubre</t>
        </r>
      </text>
    </comment>
  </commentList>
</comments>
</file>

<file path=xl/sharedStrings.xml><?xml version="1.0" encoding="utf-8"?>
<sst xmlns="http://schemas.openxmlformats.org/spreadsheetml/2006/main" count="1099" uniqueCount="262">
  <si>
    <t>Escuela Nacional de la Judicatura</t>
  </si>
  <si>
    <t>Capacitados formación continua Enero-Marzo 2011</t>
  </si>
  <si>
    <t>Expresado en personas capacitadas</t>
  </si>
  <si>
    <t>FINALIZARON CAPACITACION</t>
  </si>
  <si>
    <t>AREA DE GESTION</t>
  </si>
  <si>
    <t>INSCRITOS</t>
  </si>
  <si>
    <t>Aprobados</t>
  </si>
  <si>
    <t>Retirados</t>
  </si>
  <si>
    <t>No aprobados</t>
  </si>
  <si>
    <t>Tasa de abandono</t>
  </si>
  <si>
    <t>PENAL</t>
  </si>
  <si>
    <t>CIVIL</t>
  </si>
  <si>
    <t>PRINCIPIOS F.</t>
  </si>
  <si>
    <t>FUNCIONAL</t>
  </si>
  <si>
    <t>INTEGRAL</t>
  </si>
  <si>
    <t>GERENCIA</t>
  </si>
  <si>
    <t>TOTAL DE CAPACITADOS</t>
  </si>
  <si>
    <t>Expresado en personas capacitadas por colectivo</t>
  </si>
  <si>
    <t>Cantidad de Inscritos</t>
  </si>
  <si>
    <t>JUECES</t>
  </si>
  <si>
    <t>DEFENSORES</t>
  </si>
  <si>
    <t>EMPLEADOS</t>
  </si>
  <si>
    <t>COMUNIDAD J.</t>
  </si>
  <si>
    <t>INVESTIGADORES</t>
  </si>
  <si>
    <t>PRINCIPIOS FUNDAMENTALES</t>
  </si>
  <si>
    <t>% vs. total capacitado</t>
  </si>
  <si>
    <t>Expresados en horas impartidas de capacitación</t>
  </si>
  <si>
    <t>Presenciales</t>
  </si>
  <si>
    <t>Virtuales</t>
  </si>
  <si>
    <t>TOTAL</t>
  </si>
  <si>
    <t>TOTAL DE HORAS IMPARTIDAS</t>
  </si>
  <si>
    <t>EQUIVALENDIA CREDITOS</t>
  </si>
  <si>
    <t>%</t>
  </si>
  <si>
    <t>Expresado en porcentajes de horas de capacitacion</t>
  </si>
  <si>
    <t>PRESENCIALES</t>
  </si>
  <si>
    <t>VIRTUALES</t>
  </si>
  <si>
    <t>Expresado en personas por sexo</t>
  </si>
  <si>
    <t>FEMENINO</t>
  </si>
  <si>
    <t>%  por area</t>
  </si>
  <si>
    <t>MASCULINO</t>
  </si>
  <si>
    <t>% por area</t>
  </si>
  <si>
    <t>adf</t>
  </si>
  <si>
    <t>Capacitados formación continua Abril-Junio 2011</t>
  </si>
  <si>
    <t>Otros Públicos</t>
  </si>
  <si>
    <t>Capacitados formación continua julio-septiembre 2011</t>
  </si>
  <si>
    <t>Inscritos</t>
  </si>
  <si>
    <t>Capacitados formación continua octubre-diciembre 2011</t>
  </si>
  <si>
    <t>Capacitados Formación Continua 2011</t>
  </si>
  <si>
    <t>Capacitados formación continua 2011</t>
  </si>
  <si>
    <t>Año 2011</t>
  </si>
  <si>
    <t>Registros Educandos Formación Continua</t>
  </si>
  <si>
    <t>Codigo
Exactus</t>
  </si>
  <si>
    <t>Curso</t>
  </si>
  <si>
    <t>Fecha de inicio</t>
  </si>
  <si>
    <t>Fecha fin</t>
  </si>
  <si>
    <t>Ciclo</t>
  </si>
  <si>
    <t>Cantidad de Horas</t>
  </si>
  <si>
    <t>Area</t>
  </si>
  <si>
    <t>Participantes capacitados</t>
  </si>
  <si>
    <t>% de participación</t>
  </si>
  <si>
    <t>Participantes retirados</t>
  </si>
  <si>
    <t>Cantidad de Retirados</t>
  </si>
  <si>
    <t>% de deserción</t>
  </si>
  <si>
    <t>Participantes no aprobado</t>
  </si>
  <si>
    <t>Cantidad de no aprobados</t>
  </si>
  <si>
    <t>Modalidad</t>
  </si>
  <si>
    <t>Jueces</t>
  </si>
  <si>
    <t xml:space="preserve"> Defensores</t>
  </si>
  <si>
    <t>Comunidad Jurídica</t>
  </si>
  <si>
    <t>Empleados del Poder Judicial</t>
  </si>
  <si>
    <t>F</t>
  </si>
  <si>
    <t>M</t>
  </si>
  <si>
    <t>Total de capacitados que  si  finalizó</t>
  </si>
  <si>
    <t>Trimestre Enero-Marzo</t>
  </si>
  <si>
    <t>Cursos</t>
  </si>
  <si>
    <t>Ciencias Forenses: Medicina Legal y Criminalística</t>
  </si>
  <si>
    <t>Enero-Marzo</t>
  </si>
  <si>
    <t>B-Learning</t>
  </si>
  <si>
    <t>Penal</t>
  </si>
  <si>
    <t>Particularidades de la etapa intermedia en el proceso penal</t>
  </si>
  <si>
    <t>Redacción de Sentencias</t>
  </si>
  <si>
    <t>Funcional</t>
  </si>
  <si>
    <t>Sociedades Comerciales</t>
  </si>
  <si>
    <t>Civil</t>
  </si>
  <si>
    <t>Derecho Constitucional</t>
  </si>
  <si>
    <t>Principios Fundamentales</t>
  </si>
  <si>
    <t>Derecho de Amparo</t>
  </si>
  <si>
    <t>Teoría General del Derecho</t>
  </si>
  <si>
    <t xml:space="preserve">Tics en la Escuela edición 8 </t>
  </si>
  <si>
    <t>Integral</t>
  </si>
  <si>
    <t>Competencias Institucionales y de Gestión edición 5</t>
  </si>
  <si>
    <t>Febrero-Mayo</t>
  </si>
  <si>
    <t>Modelo de Gestión Penal Empleados Administrativos Puerto Plata</t>
  </si>
  <si>
    <t>Presencial</t>
  </si>
  <si>
    <t>Derecho Procesal Laboral</t>
  </si>
  <si>
    <t>Talleres</t>
  </si>
  <si>
    <t>Legislación Especial de Tránsito y Responsabilidad Civil-SPM</t>
  </si>
  <si>
    <t>Taller Cerrado</t>
  </si>
  <si>
    <t>Legislación Especial de Tránsito y Responsabilidad Civil-San Cristóbal</t>
  </si>
  <si>
    <t>Legislación Especial de Tránsito y Responsabilidad Civil-La Vega</t>
  </si>
  <si>
    <t>Legislación Especial de Tránsito y Responsabilidad Civil-Santo Domingo</t>
  </si>
  <si>
    <t>Legislación Especial de Tránsito y Responsabilidad Civil-Santiago</t>
  </si>
  <si>
    <t>Taller de Tráfico y Trata de personas</t>
  </si>
  <si>
    <t>Violencia Intrafamiliar y de Género: Investigación Judicial Aplicada con Perspectiva de Género Grupo 1</t>
  </si>
  <si>
    <t>Violencia Intrafamiliar y de Género: Investigación Judicial Aplicada con Perspectiva de Género Grupo 2</t>
  </si>
  <si>
    <t>Violencia Intrafamiliar y de Género: Investigación Judicial Aplicada con Perspectiva de Género Grupo 3</t>
  </si>
  <si>
    <t>Violencia Intrafamiliar y de Género: Investigación Judicial Aplicada con Perspectiva de Género Grupo 4</t>
  </si>
  <si>
    <t>Violencia Intrafamiliar y de Género: Investigación Judicial Aplicada con Perspectiva de Género Grupo 5</t>
  </si>
  <si>
    <t>Derecho de los consumidores (as) y usuarios (as)</t>
  </si>
  <si>
    <t>Interpretación Constitucional</t>
  </si>
  <si>
    <t>Trimestre Abril-Junio</t>
  </si>
  <si>
    <t>Curso Garantías Constitucionales</t>
  </si>
  <si>
    <t>Abril-Agosto</t>
  </si>
  <si>
    <t>Curso Interpretación Constitucional</t>
  </si>
  <si>
    <t>Abril-Junio</t>
  </si>
  <si>
    <t>E-Learning</t>
  </si>
  <si>
    <t>Curso Argumentación Jurídica</t>
  </si>
  <si>
    <t>Curso Procedimientos Especiales del Código Procesal Penal</t>
  </si>
  <si>
    <t>Curso La Ejecución en el Proceso penal</t>
  </si>
  <si>
    <t>Curso Derecho de Consumidores y Usuarios</t>
  </si>
  <si>
    <t xml:space="preserve">Curso Derecho Laboral Internacional </t>
  </si>
  <si>
    <t>Taller de Ortografía Grupo 1</t>
  </si>
  <si>
    <t>Taller</t>
  </si>
  <si>
    <t>Taller de Ortografía Grupo 2</t>
  </si>
  <si>
    <t>Taller de Ortografía Grupo 3</t>
  </si>
  <si>
    <t>Taller Código de Ética y Sistema de Integridad de la Defensa Pública</t>
  </si>
  <si>
    <t>Taller Derecho Procesal Constitucional-Distrito Nacional</t>
  </si>
  <si>
    <t xml:space="preserve">Taller Requerimientos Administrativos y Seguimiento de casos de la Defensa Pública </t>
  </si>
  <si>
    <t>Taller Litigación Penal</t>
  </si>
  <si>
    <t>Taller Abierto</t>
  </si>
  <si>
    <t>Taller de Orientación al Servicio</t>
  </si>
  <si>
    <t>Taller Técnicas de Supervisión y Gerencia</t>
  </si>
  <si>
    <t>Taller de Derecho de los Consumidores y Usuarios CJN</t>
  </si>
  <si>
    <t>Taller de Derecho de los Consumidores y Usuarios CJI</t>
  </si>
  <si>
    <t>Taller sobre Argumentación Jurídica, Ética e Independencia Judicial</t>
  </si>
  <si>
    <t>Taller Elaboración de Informes de Trabajo Social y Recolección de Datos</t>
  </si>
  <si>
    <t>Taller de Procedimiento Constitucional (San Pedro de Macorís)</t>
  </si>
  <si>
    <t>Taller de Procedimiento Constitucional (Sur)</t>
  </si>
  <si>
    <t>Taller de Procedimiento Constitucional (Norte)</t>
  </si>
  <si>
    <t>Taller sobre Libertad de Expresión e Información y Debido Proceso</t>
  </si>
  <si>
    <t>Taller de Investigación Acción Participante Judicial</t>
  </si>
  <si>
    <t>Trimestre Julio-Septiembre</t>
  </si>
  <si>
    <t>Derecho Internacional de los Derechos Humanos</t>
  </si>
  <si>
    <t>Julio-Septiembre</t>
  </si>
  <si>
    <t>Derecho Procesal Constitucional</t>
  </si>
  <si>
    <t>Derecho Penal Especial</t>
  </si>
  <si>
    <t>Legislación Especial de Tránsito y Responsabilidad Civil</t>
  </si>
  <si>
    <t>Seguridad Social</t>
  </si>
  <si>
    <t>Derecho de Familia</t>
  </si>
  <si>
    <t xml:space="preserve">Curso Competencias Institucionales y de Gestión edición 6 </t>
  </si>
  <si>
    <t>Mayo-Julio</t>
  </si>
  <si>
    <t>Curso de Inglés Básico – Fase 1A</t>
  </si>
  <si>
    <t>Marzo-Diciembre</t>
  </si>
  <si>
    <t>Curso de Inglés Básico – Fase 1B</t>
  </si>
  <si>
    <t>Curso de Inglés Básico – Fase 2A</t>
  </si>
  <si>
    <t>Curso de Inglés Básico – Fase 2B</t>
  </si>
  <si>
    <t>Curso de Inglés Básico – Fase 3</t>
  </si>
  <si>
    <t>Curso de Inglés Básico – Fase 4</t>
  </si>
  <si>
    <t>Curso de Inglés Intermedio – Fase 5</t>
  </si>
  <si>
    <t>Curso de Inglés Intermedio – Fase 6</t>
  </si>
  <si>
    <t>Curso de Inglés Intermedio – Fase 7</t>
  </si>
  <si>
    <t>Curso de Inglés Intermedio – Fase 8</t>
  </si>
  <si>
    <t>Curso de Inglés Intermedio – Fase 9</t>
  </si>
  <si>
    <t>Curso de Inglés Intermedio – Fase 10</t>
  </si>
  <si>
    <t>Talleres y Seminarios</t>
  </si>
  <si>
    <t>Taller Justicia y Medios de Comunicación</t>
  </si>
  <si>
    <t>Taller Gerencia de Despacho</t>
  </si>
  <si>
    <t xml:space="preserve">Taller Código de Ética y Sistema de Integridad de la Defensa Pública </t>
  </si>
  <si>
    <t>Taller Requerimientos Administrativos y Seguimiento de casos de la Defensa Pública</t>
  </si>
  <si>
    <t>Taller Gestión Administrativa del Tribunal</t>
  </si>
  <si>
    <t>Taller Cómo Mejorar Nuestras Argumentaciones</t>
  </si>
  <si>
    <t>Taller de Comunicación Efectiva-Julio</t>
  </si>
  <si>
    <t>Taller de Conocimiento Institucional-Julio</t>
  </si>
  <si>
    <t>Taller Miembro de Equipo y Cooperación-Julio</t>
  </si>
  <si>
    <t>Taller de Orientación al Servicio-Julio</t>
  </si>
  <si>
    <t>Taller de Comunicación Efectiva-Agosto</t>
  </si>
  <si>
    <t>Taller de Conocimiento Institucional-Agosto</t>
  </si>
  <si>
    <t>Taller Miembro de Equipo y Cooperación-Agosto</t>
  </si>
  <si>
    <t>Taller de Orientación al Servicio-Agosto</t>
  </si>
  <si>
    <t>Taller de Comunicación Efectiva-Septiembre</t>
  </si>
  <si>
    <t>Taller de Conocimiento Institucional-Septiembre</t>
  </si>
  <si>
    <t>Taller Miembro de Equipo y Cooperación-Septiembre</t>
  </si>
  <si>
    <t>Taller de Orientación al Servicio-Septiembre</t>
  </si>
  <si>
    <t>Taller de Redacción-Septiembre</t>
  </si>
  <si>
    <t>Taller Control de Logicidad</t>
  </si>
  <si>
    <t>Taller de Formación de Formadores  “Técnicas Didácticas y Alternativas para la Evaluación de los Aprendizajes”</t>
  </si>
  <si>
    <t>Taller Interpretación Costitucional-San Francisco de Macorís</t>
  </si>
  <si>
    <t>Taller del Manual de Juzgamiento de Delitos Ambientales</t>
  </si>
  <si>
    <t>Taller Interpretación Costitucional</t>
  </si>
  <si>
    <t>Taller Interpretación Costitucional-San Cristóbal</t>
  </si>
  <si>
    <t>Taller de Sociedades Comerciales</t>
  </si>
  <si>
    <t>Seminario Principios Reguladores de la Jurisdicción Contencioso Administrativo</t>
  </si>
  <si>
    <t>Taller Formación de Formadores sobre Trata de Personas</t>
  </si>
  <si>
    <t>Taller Penal Laboral y Seguridad Social</t>
  </si>
  <si>
    <t>Seminario Internacional sobre Lavado de Activos-Procuraduría</t>
  </si>
  <si>
    <t>Seminario Internacional sobre Lavado de Activos-ENJ</t>
  </si>
  <si>
    <t>Seminario Medidas de Coerción-Docentes Universitarios</t>
  </si>
  <si>
    <t>Seminario Medidas de Coerción-San Pedro de Macorís</t>
  </si>
  <si>
    <t>Seminario Medidas de Coerción-Santiago</t>
  </si>
  <si>
    <t>Seminario Medidas de Coerción- San Cristóbal, Santo Domingo y Distrito Nacional</t>
  </si>
  <si>
    <t>Seminario Entrevistas forenses a personas en condición de vulnerabilidad, víctimas o testigos de delitos</t>
  </si>
  <si>
    <t>Taller Penal Laboral y Seguridad Social- Santiago</t>
  </si>
  <si>
    <t>Trimestre Octubre-Diciembre</t>
  </si>
  <si>
    <t>Octubre-Diciembre</t>
  </si>
  <si>
    <t>Control Logicidad</t>
  </si>
  <si>
    <t>Herramientas para el Manejo y Fallo de Expedientes Civiles</t>
  </si>
  <si>
    <t xml:space="preserve">Técnicas de Litigación para Jueces </t>
  </si>
  <si>
    <t xml:space="preserve">Derecho Penal Laboral </t>
  </si>
  <si>
    <t>Portugués</t>
  </si>
  <si>
    <t>Febrero-Diciembre</t>
  </si>
  <si>
    <t>Juez de Paz Civil</t>
  </si>
  <si>
    <t>Responsabilidad Civil I</t>
  </si>
  <si>
    <t>Google Apps para Docentes</t>
  </si>
  <si>
    <t xml:space="preserve">Taller Gerencia de Despacho </t>
  </si>
  <si>
    <t xml:space="preserve">Taller Gestión Administrativa del Tribunal </t>
  </si>
  <si>
    <t xml:space="preserve">Taller Cómo Mejorar Nuestras Argumentaciones </t>
  </si>
  <si>
    <t>Taller Derecho de Consumidores(as) y usuarios(as)- Octubre</t>
  </si>
  <si>
    <t>Seminario Jucio Penal Abreviado-G1</t>
  </si>
  <si>
    <t>Seminario Jucio Penal Abreviado-G2</t>
  </si>
  <si>
    <t>Taller Sociedades Comerciales- La Vega</t>
  </si>
  <si>
    <t>Seminario Derecho Administrativo</t>
  </si>
  <si>
    <t>Fotografía para Investigadores Sociales y Trabajadores Sociales</t>
  </si>
  <si>
    <t>Taller de sensibilización sobre Trata de Personas  (San Pedro de Macorís)</t>
  </si>
  <si>
    <t>Taller de sensibilización sobre Trata de Personas  (Santiago)</t>
  </si>
  <si>
    <t>Taller Libertad de Expresión e Información y Debido Proceso Puerto Plata</t>
  </si>
  <si>
    <t>Taller de Ortografía- Octubre</t>
  </si>
  <si>
    <t>Taller de sensibilización sobre Trata de Personas  (Distrito Nacional, Santo Domingo y San Cristóbal)</t>
  </si>
  <si>
    <t>Taller de sensibilización sobre Trata de Personas  (San Juan de la Maguana)</t>
  </si>
  <si>
    <t>Taller de Ortografía -Noviembre</t>
  </si>
  <si>
    <t>Taller Libertad de Expresión e Información y Debido Proceso (La Vega y San Francisco de Macorís)</t>
  </si>
  <si>
    <t>Taller Litigación Penal para Defensores</t>
  </si>
  <si>
    <t>Taller de Derechos de las Víctimas en la Justicia Restaurativa</t>
  </si>
  <si>
    <t>Taller Derecho de Familia (Pasantes)</t>
  </si>
  <si>
    <t>Taller Pasantes</t>
  </si>
  <si>
    <t>Taller Derecho Internacional de los Derechos Humanos (Pasantes)</t>
  </si>
  <si>
    <t>Taller Ciencias Forences y Criminalistica (Pasantes)</t>
  </si>
  <si>
    <t>Derecho Constitucional- Pasantes</t>
  </si>
  <si>
    <t>Taller Sociedades Comerciales- San Pedro de Macorís</t>
  </si>
  <si>
    <t>Taller Derecho de Consumidores(as) y usuarios(as)-Noviembre DN, Sto Dgo, SC</t>
  </si>
  <si>
    <t>Taller Embargo Inmobiliario-La Vega</t>
  </si>
  <si>
    <t>Taller de Redacción de Sentecias-Barahona</t>
  </si>
  <si>
    <t>Taller de Ortografía -Diciembre</t>
  </si>
  <si>
    <t>Taller Libertad de Expresión e Información y Debido Proceso-San Pedro</t>
  </si>
  <si>
    <t>Taller de Comunicación Efectiva-Octubre</t>
  </si>
  <si>
    <t>Taller de Conocimiento Institucional-Octubre</t>
  </si>
  <si>
    <t>Taller Miembro de Equipo y Cooperación-Octubre</t>
  </si>
  <si>
    <t>Taller de Orientación al Servicio-Octubre</t>
  </si>
  <si>
    <t>Taller de Comunicación Efectiva-Noviembre</t>
  </si>
  <si>
    <t>Taller de Conocimiento Institucional-Noviembre</t>
  </si>
  <si>
    <t>Taller Miembro de Equipo y Cooperación-Noviembre</t>
  </si>
  <si>
    <t>/</t>
  </si>
  <si>
    <t>Taller de Orientación al Servicio-Noviembre</t>
  </si>
  <si>
    <t>Taller de Comunicación Efectiva-Diciembre</t>
  </si>
  <si>
    <t>Taller de Conocimiento Institucional-Diciembre</t>
  </si>
  <si>
    <t>Taller Miembro de Equipo y Cooperación-Diciembre</t>
  </si>
  <si>
    <t>Taller de Orientación al Servicio-Diciembre</t>
  </si>
  <si>
    <t>Taller del Libro Digital</t>
  </si>
  <si>
    <t>Mayo-junio</t>
  </si>
  <si>
    <t>TOTAL DE INVERSION FORMACION CONTINUA</t>
  </si>
  <si>
    <t>Filter</t>
  </si>
  <si>
    <t>Count - Total de capacitados que  si  finalizó</t>
  </si>
  <si>
    <t>Total Resultado</t>
  </si>
</sst>
</file>

<file path=xl/styles.xml><?xml version="1.0" encoding="utf-8"?>
<styleSheet xmlns="http://schemas.openxmlformats.org/spreadsheetml/2006/main">
  <numFmts count="1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€]#,##0.00\ ;[$€]\(#,##0.00\);[$€]\-#\ "/>
    <numFmt numFmtId="165" formatCode="d&quot;. &quot;mmm&quot;. &quot;yyyy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58"/>
      <name val="Trebuchet MS"/>
      <family val="2"/>
    </font>
    <font>
      <b/>
      <sz val="14"/>
      <color indexed="58"/>
      <name val="Trebuchet MS"/>
      <family val="2"/>
    </font>
    <font>
      <b/>
      <sz val="22"/>
      <color indexed="58"/>
      <name val="Trebuchet MS"/>
      <family val="2"/>
    </font>
    <font>
      <b/>
      <sz val="14"/>
      <color indexed="16"/>
      <name val="Trebuchet MS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12"/>
      <color indexed="58"/>
      <name val="Trebuchet MS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14"/>
      <color indexed="8"/>
      <name val="Arial"/>
      <family val="2"/>
    </font>
    <font>
      <sz val="10.5"/>
      <name val="Arial"/>
      <family val="2"/>
    </font>
    <font>
      <b/>
      <sz val="16"/>
      <color indexed="58"/>
      <name val="Century Schoolbook L"/>
      <family val="1"/>
    </font>
    <font>
      <b/>
      <sz val="14"/>
      <color indexed="58"/>
      <name val="Century Schoolbook L"/>
      <family val="1"/>
    </font>
    <font>
      <b/>
      <sz val="14"/>
      <color indexed="16"/>
      <name val="Century Schoolbook L"/>
      <family val="1"/>
    </font>
    <font>
      <sz val="10"/>
      <name val="Century Schoolbook L"/>
      <family val="1"/>
    </font>
    <font>
      <sz val="8"/>
      <name val="Century Schoolbook L"/>
      <family val="1"/>
    </font>
    <font>
      <sz val="10"/>
      <color indexed="9"/>
      <name val="Century Schoolbook L"/>
      <family val="1"/>
    </font>
    <font>
      <sz val="10"/>
      <color indexed="12"/>
      <name val="Century Schoolbook L"/>
      <family val="1"/>
    </font>
    <font>
      <sz val="14"/>
      <color indexed="12"/>
      <name val="Century Schoolbook L"/>
      <family val="1"/>
    </font>
    <font>
      <sz val="14"/>
      <name val="Century Schoolbook L"/>
      <family val="1"/>
    </font>
    <font>
      <sz val="8"/>
      <color indexed="9"/>
      <name val="Century Schoolbook L"/>
      <family val="1"/>
    </font>
    <font>
      <sz val="7"/>
      <name val="Century Schoolbook L"/>
      <family val="1"/>
    </font>
    <font>
      <sz val="11"/>
      <name val="Century Schoolbook L"/>
      <family val="1"/>
    </font>
    <font>
      <sz val="11"/>
      <color indexed="9"/>
      <name val="Century Schoolbook L"/>
      <family val="1"/>
    </font>
    <font>
      <i/>
      <sz val="9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Century Schoolbook L"/>
      <family val="1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10"/>
      <color indexed="17"/>
      <name val="Trebuchet MS"/>
      <family val="2"/>
    </font>
    <font>
      <b/>
      <sz val="20"/>
      <color indexed="58"/>
      <name val="Trebuchet MS"/>
      <family val="2"/>
    </font>
    <font>
      <b/>
      <sz val="9"/>
      <name val="Trebuchet MS"/>
      <family val="2"/>
    </font>
    <font>
      <b/>
      <sz val="16"/>
      <color indexed="16"/>
      <name val="Trebuchet MS"/>
      <family val="2"/>
    </font>
    <font>
      <b/>
      <sz val="12"/>
      <color indexed="12"/>
      <name val="Trebuchet MS"/>
      <family val="2"/>
    </font>
    <font>
      <b/>
      <i/>
      <sz val="12"/>
      <color indexed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2"/>
      <name val="Arial"/>
      <family val="2"/>
    </font>
    <font>
      <sz val="12"/>
      <color indexed="17"/>
      <name val="Trebuchet MS"/>
      <family val="2"/>
    </font>
    <font>
      <b/>
      <sz val="12"/>
      <color indexed="17"/>
      <name val="Trebuchet MS"/>
      <family val="2"/>
    </font>
    <font>
      <b/>
      <i/>
      <sz val="12"/>
      <color indexed="17"/>
      <name val="Trebuchet MS"/>
      <family val="2"/>
    </font>
    <font>
      <i/>
      <sz val="12"/>
      <color indexed="17"/>
      <name val="Trebuchet MS"/>
      <family val="2"/>
    </font>
    <font>
      <sz val="12"/>
      <color indexed="12"/>
      <name val="Trebuchet MS"/>
      <family val="2"/>
    </font>
    <font>
      <sz val="12"/>
      <color indexed="12"/>
      <name val="Arial"/>
      <family val="2"/>
    </font>
    <font>
      <i/>
      <sz val="12"/>
      <color indexed="12"/>
      <name val="Trebuchet MS"/>
      <family val="2"/>
    </font>
    <font>
      <b/>
      <i/>
      <sz val="12"/>
      <name val="Trebuchet MS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Trebuchet MS"/>
      <family val="2"/>
    </font>
    <font>
      <sz val="10"/>
      <color indexed="9"/>
      <name val="Trebuchet MS"/>
      <family val="2"/>
    </font>
    <font>
      <b/>
      <sz val="11"/>
      <color indexed="9"/>
      <name val="Trebuchet MS"/>
      <family val="2"/>
    </font>
    <font>
      <b/>
      <sz val="8"/>
      <color indexed="9"/>
      <name val="Trebuchet MS"/>
      <family val="2"/>
    </font>
    <font>
      <sz val="11"/>
      <name val="Trebuchet MS"/>
      <family val="2"/>
    </font>
    <font>
      <sz val="10"/>
      <color indexed="10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b/>
      <sz val="11"/>
      <color indexed="17"/>
      <name val="Trebuchet MS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3"/>
      <color indexed="18"/>
      <name val="Arial"/>
      <family val="0"/>
    </font>
    <font>
      <sz val="9.2"/>
      <color indexed="18"/>
      <name val="Arial"/>
      <family val="0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97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98" fillId="24" borderId="1" applyNumberFormat="0" applyAlignment="0" applyProtection="0"/>
    <xf numFmtId="0" fontId="5" fillId="25" borderId="2" applyNumberFormat="0" applyAlignment="0" applyProtection="0"/>
    <xf numFmtId="0" fontId="5" fillId="26" borderId="2" applyNumberFormat="0" applyAlignment="0" applyProtection="0"/>
    <xf numFmtId="0" fontId="0" fillId="0" borderId="0" applyNumberFormat="0" applyFill="0" applyBorder="0" applyProtection="0">
      <alignment horizontal="left"/>
    </xf>
    <xf numFmtId="0" fontId="99" fillId="27" borderId="3" applyNumberFormat="0" applyAlignment="0" applyProtection="0"/>
    <xf numFmtId="0" fontId="6" fillId="28" borderId="4" applyNumberFormat="0" applyAlignment="0" applyProtection="0"/>
    <xf numFmtId="0" fontId="7" fillId="0" borderId="5" applyNumberFormat="0" applyFill="0" applyAlignment="0" applyProtection="0"/>
    <xf numFmtId="0" fontId="6" fillId="16" borderId="4" applyNumberFormat="0" applyAlignment="0" applyProtection="0"/>
    <xf numFmtId="0" fontId="100" fillId="29" borderId="0" applyNumberFormat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9" fillId="3" borderId="2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9" fillId="3" borderId="2" applyNumberFormat="0" applyAlignment="0" applyProtection="0"/>
    <xf numFmtId="0" fontId="7" fillId="0" borderId="5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11" borderId="0" applyNumberFormat="0" applyBorder="0" applyAlignment="0" applyProtection="0"/>
    <xf numFmtId="0" fontId="0" fillId="32" borderId="12" applyNumberFormat="0" applyFont="0" applyAlignment="0" applyProtection="0"/>
    <xf numFmtId="0" fontId="0" fillId="4" borderId="13" applyNumberFormat="0" applyAlignment="0" applyProtection="0"/>
    <xf numFmtId="0" fontId="0" fillId="4" borderId="14" applyNumberFormat="0" applyAlignment="0" applyProtection="0"/>
    <xf numFmtId="0" fontId="15" fillId="25" borderId="15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26" borderId="1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0" applyNumberFormat="0" applyFill="0" applyAlignment="0" applyProtection="0"/>
    <xf numFmtId="0" fontId="8" fillId="0" borderId="17" applyNumberFormat="0" applyFill="0" applyAlignment="0" applyProtection="0"/>
    <xf numFmtId="0" fontId="19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9" fontId="0" fillId="0" borderId="0" xfId="11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vertical="center" wrapText="1"/>
    </xf>
    <xf numFmtId="0" fontId="0" fillId="25" borderId="0" xfId="0" applyFill="1" applyAlignment="1">
      <alignment/>
    </xf>
    <xf numFmtId="9" fontId="23" fillId="25" borderId="0" xfId="111" applyFont="1" applyFill="1" applyBorder="1" applyAlignment="1" applyProtection="1">
      <alignment horizontal="center" vertical="center" wrapText="1"/>
      <protection/>
    </xf>
    <xf numFmtId="0" fontId="24" fillId="25" borderId="0" xfId="0" applyNumberFormat="1" applyFont="1" applyFill="1" applyBorder="1" applyAlignment="1">
      <alignment vertical="center" wrapText="1"/>
    </xf>
    <xf numFmtId="0" fontId="24" fillId="25" borderId="0" xfId="0" applyNumberFormat="1" applyFont="1" applyFill="1" applyBorder="1" applyAlignment="1">
      <alignment horizontal="center" vertical="center" wrapText="1"/>
    </xf>
    <xf numFmtId="0" fontId="25" fillId="25" borderId="0" xfId="0" applyNumberFormat="1" applyFont="1" applyFill="1" applyBorder="1" applyAlignment="1">
      <alignment vertical="center" wrapText="1"/>
    </xf>
    <xf numFmtId="0" fontId="26" fillId="25" borderId="0" xfId="0" applyNumberFormat="1" applyFont="1" applyFill="1" applyBorder="1" applyAlignment="1">
      <alignment horizontal="center" vertical="center" wrapText="1"/>
    </xf>
    <xf numFmtId="9" fontId="0" fillId="25" borderId="0" xfId="111" applyFont="1" applyFill="1" applyBorder="1" applyAlignment="1" applyProtection="1">
      <alignment horizontal="center" vertical="center" wrapText="1"/>
      <protection/>
    </xf>
    <xf numFmtId="9" fontId="27" fillId="25" borderId="0" xfId="111" applyFont="1" applyFill="1" applyBorder="1" applyAlignment="1" applyProtection="1">
      <alignment horizontal="center" vertical="center" wrapText="1"/>
      <protection/>
    </xf>
    <xf numFmtId="0" fontId="0" fillId="14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9" fontId="0" fillId="14" borderId="0" xfId="111" applyFont="1" applyFill="1" applyBorder="1" applyAlignment="1" applyProtection="1">
      <alignment horizontal="center" vertical="center" wrapText="1"/>
      <protection/>
    </xf>
    <xf numFmtId="0" fontId="27" fillId="14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right" vertical="center" wrapText="1"/>
    </xf>
    <xf numFmtId="9" fontId="30" fillId="0" borderId="0" xfId="11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 vertical="center" wrapText="1"/>
    </xf>
    <xf numFmtId="0" fontId="29" fillId="25" borderId="0" xfId="0" applyFont="1" applyFill="1" applyAlignment="1">
      <alignment vertical="center" wrapText="1"/>
    </xf>
    <xf numFmtId="3" fontId="31" fillId="14" borderId="0" xfId="0" applyNumberFormat="1" applyFont="1" applyFill="1" applyAlignment="1">
      <alignment horizontal="right" vertical="center" wrapText="1"/>
    </xf>
    <xf numFmtId="9" fontId="31" fillId="14" borderId="0" xfId="111" applyFont="1" applyFill="1" applyBorder="1" applyAlignment="1" applyProtection="1">
      <alignment horizontal="right" vertical="center" wrapText="1"/>
      <protection/>
    </xf>
    <xf numFmtId="0" fontId="0" fillId="25" borderId="0" xfId="0" applyFont="1" applyFill="1" applyBorder="1" applyAlignment="1">
      <alignment vertical="center" wrapText="1"/>
    </xf>
    <xf numFmtId="9" fontId="0" fillId="25" borderId="0" xfId="111" applyFill="1" applyBorder="1" applyAlignment="1" applyProtection="1">
      <alignment vertical="center" wrapText="1"/>
      <protection/>
    </xf>
    <xf numFmtId="9" fontId="31" fillId="25" borderId="0" xfId="111" applyFont="1" applyFill="1" applyBorder="1" applyAlignment="1" applyProtection="1">
      <alignment horizontal="right" vertical="center" wrapText="1"/>
      <protection/>
    </xf>
    <xf numFmtId="0" fontId="0" fillId="25" borderId="0" xfId="0" applyFont="1" applyFill="1" applyBorder="1" applyAlignment="1">
      <alignment horizontal="left" vertical="center" wrapText="1"/>
    </xf>
    <xf numFmtId="9" fontId="23" fillId="25" borderId="0" xfId="111" applyFont="1" applyFill="1" applyBorder="1" applyAlignment="1" applyProtection="1">
      <alignment vertical="center" wrapText="1"/>
      <protection/>
    </xf>
    <xf numFmtId="0" fontId="26" fillId="25" borderId="0" xfId="0" applyNumberFormat="1" applyFont="1" applyFill="1" applyBorder="1" applyAlignment="1">
      <alignment vertical="center" wrapText="1"/>
    </xf>
    <xf numFmtId="0" fontId="0" fillId="26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9" fontId="27" fillId="26" borderId="0" xfId="111" applyFont="1" applyFill="1" applyBorder="1" applyAlignment="1" applyProtection="1">
      <alignment horizontal="center" vertical="center" wrapText="1"/>
      <protection/>
    </xf>
    <xf numFmtId="0" fontId="27" fillId="25" borderId="0" xfId="0" applyFont="1" applyFill="1" applyAlignment="1">
      <alignment horizontal="center" vertical="center" wrapText="1"/>
    </xf>
    <xf numFmtId="9" fontId="33" fillId="14" borderId="0" xfId="1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3" fontId="30" fillId="0" borderId="0" xfId="0" applyNumberFormat="1" applyFont="1" applyAlignment="1">
      <alignment horizontal="center" vertical="center" wrapText="1"/>
    </xf>
    <xf numFmtId="3" fontId="31" fillId="14" borderId="0" xfId="0" applyNumberFormat="1" applyFont="1" applyFill="1" applyAlignment="1">
      <alignment horizontal="center" vertical="center" wrapText="1"/>
    </xf>
    <xf numFmtId="9" fontId="31" fillId="26" borderId="0" xfId="111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Alignment="1">
      <alignment horizontal="left" vertical="center" wrapText="1"/>
    </xf>
    <xf numFmtId="4" fontId="16" fillId="25" borderId="0" xfId="0" applyNumberFormat="1" applyFont="1" applyFill="1" applyAlignment="1">
      <alignment vertical="center" wrapText="1"/>
    </xf>
    <xf numFmtId="9" fontId="16" fillId="25" borderId="0" xfId="111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Alignment="1">
      <alignment vertical="center" wrapText="1"/>
    </xf>
    <xf numFmtId="0" fontId="34" fillId="25" borderId="0" xfId="0" applyNumberFormat="1" applyFont="1" applyFill="1" applyBorder="1" applyAlignment="1">
      <alignment horizontal="center" vertical="center" wrapText="1"/>
    </xf>
    <xf numFmtId="9" fontId="27" fillId="14" borderId="0" xfId="111" applyFont="1" applyFill="1" applyBorder="1" applyAlignment="1" applyProtection="1">
      <alignment horizontal="center" vertical="center" wrapText="1"/>
      <protection/>
    </xf>
    <xf numFmtId="0" fontId="30" fillId="25" borderId="0" xfId="111" applyNumberFormat="1" applyFont="1" applyFill="1" applyBorder="1" applyAlignment="1" applyProtection="1">
      <alignment horizontal="center" vertical="center" wrapText="1"/>
      <protection/>
    </xf>
    <xf numFmtId="3" fontId="30" fillId="25" borderId="0" xfId="0" applyNumberFormat="1" applyFont="1" applyFill="1" applyBorder="1" applyAlignment="1">
      <alignment horizontal="center" vertical="center" wrapText="1"/>
    </xf>
    <xf numFmtId="3" fontId="31" fillId="25" borderId="0" xfId="0" applyNumberFormat="1" applyFont="1" applyFill="1" applyBorder="1" applyAlignment="1">
      <alignment horizontal="center" vertical="center" wrapText="1"/>
    </xf>
    <xf numFmtId="9" fontId="24" fillId="25" borderId="0" xfId="111" applyFont="1" applyFill="1" applyBorder="1" applyAlignment="1" applyProtection="1">
      <alignment horizontal="center" vertical="center" wrapText="1"/>
      <protection/>
    </xf>
    <xf numFmtId="9" fontId="30" fillId="25" borderId="0" xfId="111" applyFont="1" applyFill="1" applyBorder="1" applyAlignment="1" applyProtection="1">
      <alignment horizontal="center" vertical="center" wrapText="1"/>
      <protection/>
    </xf>
    <xf numFmtId="9" fontId="31" fillId="25" borderId="0" xfId="111" applyFont="1" applyFill="1" applyBorder="1" applyAlignment="1" applyProtection="1">
      <alignment horizontal="center" vertical="center" wrapText="1"/>
      <protection/>
    </xf>
    <xf numFmtId="9" fontId="31" fillId="14" borderId="0" xfId="111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Alignment="1">
      <alignment horizontal="center" vertical="center" wrapText="1"/>
    </xf>
    <xf numFmtId="0" fontId="0" fillId="14" borderId="0" xfId="0" applyFont="1" applyFill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9" fontId="30" fillId="0" borderId="0" xfId="1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 indent="1"/>
    </xf>
    <xf numFmtId="0" fontId="29" fillId="25" borderId="0" xfId="0" applyFont="1" applyFill="1" applyAlignment="1">
      <alignment/>
    </xf>
    <xf numFmtId="3" fontId="0" fillId="25" borderId="0" xfId="0" applyNumberForma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3" fontId="39" fillId="0" borderId="0" xfId="0" applyNumberFormat="1" applyFont="1" applyAlignment="1">
      <alignment horizontal="center" vertical="center" wrapText="1"/>
    </xf>
    <xf numFmtId="0" fontId="40" fillId="26" borderId="0" xfId="0" applyFont="1" applyFill="1" applyAlignment="1">
      <alignment horizontal="center" vertical="center" wrapText="1"/>
    </xf>
    <xf numFmtId="0" fontId="44" fillId="25" borderId="0" xfId="0" applyFont="1" applyFill="1" applyAlignment="1">
      <alignment vertical="center" wrapText="1"/>
    </xf>
    <xf numFmtId="9" fontId="44" fillId="25" borderId="0" xfId="111" applyFont="1" applyFill="1" applyBorder="1" applyAlignment="1" applyProtection="1">
      <alignment horizontal="center" vertical="center" wrapText="1"/>
      <protection/>
    </xf>
    <xf numFmtId="9" fontId="45" fillId="25" borderId="0" xfId="111" applyFont="1" applyFill="1" applyBorder="1" applyAlignment="1" applyProtection="1">
      <alignment horizontal="center" vertical="center" wrapText="1"/>
      <protection/>
    </xf>
    <xf numFmtId="0" fontId="44" fillId="14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9" fontId="44" fillId="14" borderId="0" xfId="111" applyFont="1" applyFill="1" applyBorder="1" applyAlignment="1" applyProtection="1">
      <alignment horizontal="center" vertical="center" wrapText="1"/>
      <protection/>
    </xf>
    <xf numFmtId="0" fontId="44" fillId="34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45" fillId="1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3" fontId="48" fillId="0" borderId="0" xfId="0" applyNumberFormat="1" applyFont="1" applyAlignment="1">
      <alignment horizontal="right" vertical="center" wrapText="1"/>
    </xf>
    <xf numFmtId="9" fontId="48" fillId="0" borderId="0" xfId="11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 horizontal="left" vertical="center" wrapText="1"/>
    </xf>
    <xf numFmtId="3" fontId="49" fillId="14" borderId="0" xfId="0" applyNumberFormat="1" applyFont="1" applyFill="1" applyAlignment="1">
      <alignment horizontal="right" vertical="center" wrapText="1"/>
    </xf>
    <xf numFmtId="9" fontId="49" fillId="14" borderId="0" xfId="111" applyFont="1" applyFill="1" applyBorder="1" applyAlignment="1" applyProtection="1">
      <alignment horizontal="right" vertical="center" wrapText="1"/>
      <protection/>
    </xf>
    <xf numFmtId="0" fontId="44" fillId="26" borderId="0" xfId="0" applyFont="1" applyFill="1" applyAlignment="1">
      <alignment horizontal="center" vertical="center" wrapText="1"/>
    </xf>
    <xf numFmtId="0" fontId="44" fillId="25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9" fontId="45" fillId="26" borderId="0" xfId="111" applyFont="1" applyFill="1" applyBorder="1" applyAlignment="1" applyProtection="1">
      <alignment horizontal="center" vertical="center" wrapText="1"/>
      <protection/>
    </xf>
    <xf numFmtId="0" fontId="45" fillId="25" borderId="0" xfId="0" applyFont="1" applyFill="1" applyAlignment="1">
      <alignment horizontal="center" vertical="center" wrapText="1"/>
    </xf>
    <xf numFmtId="9" fontId="51" fillId="14" borderId="0" xfId="11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vertical="center" wrapText="1"/>
    </xf>
    <xf numFmtId="3" fontId="48" fillId="0" borderId="0" xfId="0" applyNumberFormat="1" applyFont="1" applyAlignment="1">
      <alignment horizontal="center" vertical="center" wrapText="1"/>
    </xf>
    <xf numFmtId="3" fontId="49" fillId="14" borderId="0" xfId="0" applyNumberFormat="1" applyFont="1" applyFill="1" applyAlignment="1">
      <alignment horizontal="center" vertical="center" wrapText="1"/>
    </xf>
    <xf numFmtId="9" fontId="49" fillId="26" borderId="0" xfId="111" applyFont="1" applyFill="1" applyBorder="1" applyAlignment="1" applyProtection="1">
      <alignment horizontal="center" vertical="center" wrapText="1"/>
      <protection/>
    </xf>
    <xf numFmtId="0" fontId="45" fillId="26" borderId="0" xfId="0" applyFont="1" applyFill="1" applyAlignment="1">
      <alignment horizontal="center" vertical="center" wrapText="1"/>
    </xf>
    <xf numFmtId="0" fontId="52" fillId="14" borderId="0" xfId="0" applyFont="1" applyFill="1" applyAlignment="1">
      <alignment horizontal="left" vertical="center" wrapText="1" indent="1"/>
    </xf>
    <xf numFmtId="0" fontId="53" fillId="33" borderId="0" xfId="0" applyFont="1" applyFill="1" applyAlignment="1">
      <alignment horizontal="center" vertical="center" wrapText="1"/>
    </xf>
    <xf numFmtId="9" fontId="52" fillId="26" borderId="0" xfId="111" applyFont="1" applyFill="1" applyBorder="1" applyAlignment="1" applyProtection="1">
      <alignment horizontal="center" vertical="center" wrapText="1"/>
      <protection/>
    </xf>
    <xf numFmtId="0" fontId="52" fillId="1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 wrapText="1" indent="1"/>
    </xf>
    <xf numFmtId="9" fontId="48" fillId="0" borderId="0" xfId="11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vertical="center" wrapText="1" indent="1"/>
    </xf>
    <xf numFmtId="0" fontId="44" fillId="0" borderId="0" xfId="0" applyFont="1" applyAlignment="1">
      <alignment horizontal="left" vertical="center" wrapText="1" indent="1"/>
    </xf>
    <xf numFmtId="0" fontId="44" fillId="14" borderId="0" xfId="0" applyFont="1" applyFill="1" applyAlignment="1">
      <alignment horizontal="left" vertical="center" wrapText="1" indent="1"/>
    </xf>
    <xf numFmtId="9" fontId="49" fillId="14" borderId="0" xfId="111" applyFont="1" applyFill="1" applyBorder="1" applyAlignment="1" applyProtection="1">
      <alignment horizontal="center" vertical="center" wrapText="1"/>
      <protection/>
    </xf>
    <xf numFmtId="0" fontId="56" fillId="26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26" borderId="0" xfId="0" applyFont="1" applyFill="1" applyAlignment="1">
      <alignment vertical="center" wrapText="1"/>
    </xf>
    <xf numFmtId="0" fontId="60" fillId="0" borderId="0" xfId="0" applyFont="1" applyAlignment="1">
      <alignment vertical="center" wrapText="1"/>
    </xf>
    <xf numFmtId="0" fontId="59" fillId="26" borderId="0" xfId="0" applyFont="1" applyFill="1" applyAlignment="1">
      <alignment horizontal="center" vertical="center" wrapText="1"/>
    </xf>
    <xf numFmtId="9" fontId="57" fillId="25" borderId="0" xfId="111" applyFont="1" applyFill="1" applyBorder="1" applyAlignment="1" applyProtection="1">
      <alignment horizontal="center" vertical="center" wrapText="1"/>
      <protection/>
    </xf>
    <xf numFmtId="0" fontId="59" fillId="16" borderId="0" xfId="0" applyFont="1" applyFill="1" applyAlignment="1">
      <alignment vertical="center" wrapText="1"/>
    </xf>
    <xf numFmtId="0" fontId="57" fillId="25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7" fillId="25" borderId="0" xfId="0" applyFont="1" applyFill="1" applyBorder="1" applyAlignment="1">
      <alignment vertical="center" wrapText="1"/>
    </xf>
    <xf numFmtId="0" fontId="59" fillId="26" borderId="19" xfId="0" applyNumberFormat="1" applyFont="1" applyFill="1" applyBorder="1" applyAlignment="1">
      <alignment horizontal="center" vertical="center" wrapText="1"/>
    </xf>
    <xf numFmtId="0" fontId="59" fillId="26" borderId="20" xfId="0" applyNumberFormat="1" applyFont="1" applyFill="1" applyBorder="1" applyAlignment="1">
      <alignment horizontal="center" vertical="center" wrapText="1"/>
    </xf>
    <xf numFmtId="0" fontId="62" fillId="14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3" fillId="0" borderId="19" xfId="0" applyFont="1" applyFill="1" applyBorder="1" applyAlignment="1">
      <alignment horizontal="center" vertical="center" wrapText="1"/>
    </xf>
    <xf numFmtId="165" fontId="64" fillId="0" borderId="19" xfId="0" applyNumberFormat="1" applyFont="1" applyFill="1" applyBorder="1" applyAlignment="1">
      <alignment horizontal="left" vertical="center" wrapText="1"/>
    </xf>
    <xf numFmtId="0" fontId="64" fillId="0" borderId="19" xfId="0" applyNumberFormat="1" applyFont="1" applyFill="1" applyBorder="1" applyAlignment="1">
      <alignment horizontal="center" vertical="center" wrapText="1"/>
    </xf>
    <xf numFmtId="0" fontId="65" fillId="26" borderId="19" xfId="0" applyNumberFormat="1" applyFont="1" applyFill="1" applyBorder="1" applyAlignment="1">
      <alignment horizontal="center" vertical="center" wrapText="1"/>
    </xf>
    <xf numFmtId="0" fontId="65" fillId="25" borderId="19" xfId="0" applyNumberFormat="1" applyFont="1" applyFill="1" applyBorder="1" applyAlignment="1">
      <alignment horizontal="center" vertical="center" wrapText="1"/>
    </xf>
    <xf numFmtId="9" fontId="65" fillId="25" borderId="19" xfId="111" applyFont="1" applyFill="1" applyBorder="1" applyAlignment="1" applyProtection="1">
      <alignment horizontal="center" vertical="center" wrapText="1"/>
      <protection/>
    </xf>
    <xf numFmtId="0" fontId="64" fillId="16" borderId="19" xfId="0" applyFont="1" applyFill="1" applyBorder="1" applyAlignment="1">
      <alignment horizontal="center" vertical="center" wrapText="1"/>
    </xf>
    <xf numFmtId="9" fontId="64" fillId="25" borderId="19" xfId="111" applyFont="1" applyFill="1" applyBorder="1" applyAlignment="1" applyProtection="1">
      <alignment horizontal="center" vertical="center" wrapText="1"/>
      <protection/>
    </xf>
    <xf numFmtId="0" fontId="64" fillId="0" borderId="19" xfId="0" applyFont="1" applyBorder="1" applyAlignment="1">
      <alignment vertical="center" wrapText="1"/>
    </xf>
    <xf numFmtId="0" fontId="66" fillId="14" borderId="0" xfId="0" applyFont="1" applyFill="1" applyBorder="1" applyAlignment="1">
      <alignment vertical="center" wrapText="1"/>
    </xf>
    <xf numFmtId="49" fontId="67" fillId="14" borderId="19" xfId="0" applyNumberFormat="1" applyFont="1" applyFill="1" applyBorder="1" applyAlignment="1">
      <alignment horizontal="left" vertical="center" wrapText="1"/>
    </xf>
    <xf numFmtId="165" fontId="66" fillId="14" borderId="19" xfId="0" applyNumberFormat="1" applyFont="1" applyFill="1" applyBorder="1" applyAlignment="1">
      <alignment horizontal="left" vertical="center" wrapText="1"/>
    </xf>
    <xf numFmtId="0" fontId="66" fillId="14" borderId="19" xfId="0" applyNumberFormat="1" applyFont="1" applyFill="1" applyBorder="1" applyAlignment="1">
      <alignment horizontal="center" vertical="center" wrapText="1"/>
    </xf>
    <xf numFmtId="9" fontId="68" fillId="14" borderId="19" xfId="111" applyFont="1" applyFill="1" applyBorder="1" applyAlignment="1" applyProtection="1">
      <alignment horizontal="center" vertical="center" wrapText="1"/>
      <protection/>
    </xf>
    <xf numFmtId="0" fontId="66" fillId="14" borderId="19" xfId="0" applyFont="1" applyFill="1" applyBorder="1" applyAlignment="1">
      <alignment vertical="center" wrapText="1"/>
    </xf>
    <xf numFmtId="0" fontId="69" fillId="0" borderId="19" xfId="0" applyFont="1" applyFill="1" applyBorder="1" applyAlignment="1">
      <alignment vertical="center" wrapText="1"/>
    </xf>
    <xf numFmtId="49" fontId="69" fillId="0" borderId="19" xfId="0" applyNumberFormat="1" applyFont="1" applyFill="1" applyBorder="1" applyAlignment="1">
      <alignment horizontal="left" vertical="center" wrapText="1"/>
    </xf>
    <xf numFmtId="165" fontId="69" fillId="0" borderId="19" xfId="0" applyNumberFormat="1" applyFont="1" applyFill="1" applyBorder="1" applyAlignment="1">
      <alignment horizontal="center" vertical="center" wrapText="1"/>
    </xf>
    <xf numFmtId="0" fontId="69" fillId="0" borderId="19" xfId="0" applyNumberFormat="1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0" fillId="26" borderId="19" xfId="0" applyNumberFormat="1" applyFont="1" applyFill="1" applyBorder="1" applyAlignment="1">
      <alignment horizontal="center" vertical="center" wrapText="1"/>
    </xf>
    <xf numFmtId="0" fontId="70" fillId="0" borderId="19" xfId="0" applyNumberFormat="1" applyFont="1" applyFill="1" applyBorder="1" applyAlignment="1">
      <alignment horizontal="center" vertical="center" wrapText="1"/>
    </xf>
    <xf numFmtId="0" fontId="71" fillId="26" borderId="19" xfId="0" applyNumberFormat="1" applyFont="1" applyFill="1" applyBorder="1" applyAlignment="1">
      <alignment horizontal="center" vertical="center" wrapText="1"/>
    </xf>
    <xf numFmtId="9" fontId="72" fillId="25" borderId="19" xfId="111" applyFont="1" applyFill="1" applyBorder="1" applyAlignment="1" applyProtection="1">
      <alignment horizontal="center" vertical="center" wrapText="1"/>
      <protection/>
    </xf>
    <xf numFmtId="0" fontId="70" fillId="0" borderId="19" xfId="0" applyFont="1" applyBorder="1" applyAlignment="1">
      <alignment horizontal="center" vertical="center" wrapText="1"/>
    </xf>
    <xf numFmtId="0" fontId="70" fillId="16" borderId="19" xfId="0" applyFont="1" applyFill="1" applyBorder="1" applyAlignment="1">
      <alignment horizontal="center" vertical="center" wrapText="1"/>
    </xf>
    <xf numFmtId="9" fontId="69" fillId="25" borderId="19" xfId="111" applyFont="1" applyFill="1" applyBorder="1" applyAlignment="1" applyProtection="1">
      <alignment horizontal="center" vertical="center" wrapText="1"/>
      <protection/>
    </xf>
    <xf numFmtId="0" fontId="69" fillId="0" borderId="19" xfId="0" applyFont="1" applyBorder="1" applyAlignment="1">
      <alignment vertical="center" wrapText="1"/>
    </xf>
    <xf numFmtId="9" fontId="72" fillId="0" borderId="19" xfId="111" applyFont="1" applyFill="1" applyBorder="1" applyAlignment="1" applyProtection="1">
      <alignment horizontal="center" vertical="center" wrapText="1"/>
      <protection/>
    </xf>
    <xf numFmtId="0" fontId="70" fillId="0" borderId="19" xfId="0" applyFont="1" applyFill="1" applyBorder="1" applyAlignment="1">
      <alignment horizontal="center" vertical="center" wrapText="1"/>
    </xf>
    <xf numFmtId="9" fontId="69" fillId="0" borderId="19" xfId="11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165" fontId="69" fillId="0" borderId="19" xfId="0" applyNumberFormat="1" applyFont="1" applyFill="1" applyBorder="1" applyAlignment="1">
      <alignment horizontal="left" vertical="center" wrapText="1"/>
    </xf>
    <xf numFmtId="0" fontId="70" fillId="14" borderId="0" xfId="0" applyFont="1" applyFill="1" applyBorder="1" applyAlignment="1">
      <alignment vertical="center" wrapText="1"/>
    </xf>
    <xf numFmtId="165" fontId="70" fillId="14" borderId="19" xfId="0" applyNumberFormat="1" applyFont="1" applyFill="1" applyBorder="1" applyAlignment="1">
      <alignment horizontal="left" vertical="center" wrapText="1"/>
    </xf>
    <xf numFmtId="0" fontId="70" fillId="14" borderId="19" xfId="0" applyNumberFormat="1" applyFont="1" applyFill="1" applyBorder="1" applyAlignment="1">
      <alignment horizontal="center" vertical="center" wrapText="1"/>
    </xf>
    <xf numFmtId="0" fontId="70" fillId="14" borderId="19" xfId="0" applyFont="1" applyFill="1" applyBorder="1" applyAlignment="1">
      <alignment vertical="center" wrapText="1"/>
    </xf>
    <xf numFmtId="49" fontId="69" fillId="0" borderId="19" xfId="0" applyNumberFormat="1" applyFont="1" applyBorder="1" applyAlignment="1">
      <alignment vertical="center" wrapText="1"/>
    </xf>
    <xf numFmtId="0" fontId="70" fillId="26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26" borderId="19" xfId="0" applyNumberFormat="1" applyFont="1" applyFill="1" applyBorder="1" applyAlignment="1">
      <alignment horizontal="center" vertical="center" wrapText="1"/>
    </xf>
    <xf numFmtId="9" fontId="65" fillId="0" borderId="19" xfId="111" applyFont="1" applyFill="1" applyBorder="1" applyAlignment="1" applyProtection="1">
      <alignment horizontal="center" vertical="center" wrapText="1"/>
      <protection/>
    </xf>
    <xf numFmtId="9" fontId="64" fillId="0" borderId="19" xfId="111" applyFont="1" applyFill="1" applyBorder="1" applyAlignment="1" applyProtection="1">
      <alignment horizontal="center" vertical="center" wrapText="1"/>
      <protection/>
    </xf>
    <xf numFmtId="0" fontId="73" fillId="14" borderId="19" xfId="0" applyFont="1" applyFill="1" applyBorder="1" applyAlignment="1">
      <alignment vertical="center" wrapText="1"/>
    </xf>
    <xf numFmtId="165" fontId="73" fillId="14" borderId="19" xfId="0" applyNumberFormat="1" applyFont="1" applyFill="1" applyBorder="1" applyAlignment="1">
      <alignment horizontal="left" vertical="center" wrapText="1"/>
    </xf>
    <xf numFmtId="0" fontId="73" fillId="14" borderId="19" xfId="0" applyNumberFormat="1" applyFont="1" applyFill="1" applyBorder="1" applyAlignment="1">
      <alignment horizontal="center" vertical="center" wrapText="1"/>
    </xf>
    <xf numFmtId="0" fontId="73" fillId="14" borderId="19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vertical="center" wrapText="1"/>
    </xf>
    <xf numFmtId="0" fontId="74" fillId="0" borderId="21" xfId="0" applyFont="1" applyBorder="1" applyAlignment="1">
      <alignment/>
    </xf>
    <xf numFmtId="165" fontId="73" fillId="0" borderId="19" xfId="0" applyNumberFormat="1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>
      <alignment horizontal="center" vertical="center" wrapText="1"/>
    </xf>
    <xf numFmtId="0" fontId="73" fillId="0" borderId="21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9" fontId="75" fillId="0" borderId="19" xfId="111" applyFont="1" applyFill="1" applyBorder="1" applyAlignment="1" applyProtection="1">
      <alignment horizontal="center" vertical="center" wrapText="1"/>
      <protection/>
    </xf>
    <xf numFmtId="9" fontId="73" fillId="0" borderId="19" xfId="111" applyFont="1" applyFill="1" applyBorder="1" applyAlignment="1" applyProtection="1">
      <alignment horizontal="center" vertical="center" wrapText="1"/>
      <protection/>
    </xf>
    <xf numFmtId="0" fontId="73" fillId="25" borderId="19" xfId="0" applyNumberFormat="1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vertical="center" wrapText="1"/>
    </xf>
    <xf numFmtId="0" fontId="66" fillId="14" borderId="19" xfId="0" applyFont="1" applyFill="1" applyBorder="1" applyAlignment="1">
      <alignment horizontal="center" vertical="center" wrapText="1"/>
    </xf>
    <xf numFmtId="0" fontId="76" fillId="14" borderId="19" xfId="0" applyNumberFormat="1" applyFont="1" applyFill="1" applyBorder="1" applyAlignment="1">
      <alignment horizontal="center" vertical="center" wrapText="1"/>
    </xf>
    <xf numFmtId="9" fontId="76" fillId="14" borderId="19" xfId="111" applyFont="1" applyFill="1" applyBorder="1" applyAlignment="1" applyProtection="1">
      <alignment horizontal="center" vertical="center" wrapText="1"/>
      <protection/>
    </xf>
    <xf numFmtId="9" fontId="66" fillId="14" borderId="19" xfId="111" applyFont="1" applyFill="1" applyBorder="1" applyAlignment="1" applyProtection="1">
      <alignment horizontal="center" vertical="center" wrapText="1"/>
      <protection/>
    </xf>
    <xf numFmtId="0" fontId="74" fillId="0" borderId="21" xfId="0" applyFont="1" applyBorder="1" applyAlignment="1">
      <alignment wrapText="1"/>
    </xf>
    <xf numFmtId="49" fontId="73" fillId="0" borderId="19" xfId="0" applyNumberFormat="1" applyFont="1" applyFill="1" applyBorder="1" applyAlignment="1">
      <alignment horizontal="left" vertical="center" wrapText="1"/>
    </xf>
    <xf numFmtId="0" fontId="74" fillId="0" borderId="0" xfId="0" applyFont="1" applyBorder="1" applyAlignment="1">
      <alignment wrapText="1"/>
    </xf>
    <xf numFmtId="0" fontId="64" fillId="16" borderId="19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165" fontId="74" fillId="0" borderId="21" xfId="0" applyNumberFormat="1" applyFont="1" applyBorder="1" applyAlignment="1">
      <alignment wrapText="1"/>
    </xf>
    <xf numFmtId="165" fontId="74" fillId="0" borderId="21" xfId="0" applyNumberFormat="1" applyFont="1" applyBorder="1" applyAlignment="1">
      <alignment horizontal="left" wrapText="1"/>
    </xf>
    <xf numFmtId="0" fontId="73" fillId="0" borderId="21" xfId="0" applyFont="1" applyBorder="1" applyAlignment="1">
      <alignment wrapText="1"/>
    </xf>
    <xf numFmtId="0" fontId="69" fillId="0" borderId="21" xfId="0" applyFont="1" applyBorder="1" applyAlignment="1">
      <alignment wrapText="1"/>
    </xf>
    <xf numFmtId="165" fontId="79" fillId="0" borderId="21" xfId="0" applyNumberFormat="1" applyFont="1" applyBorder="1" applyAlignment="1">
      <alignment wrapText="1"/>
    </xf>
    <xf numFmtId="165" fontId="79" fillId="0" borderId="21" xfId="0" applyNumberFormat="1" applyFont="1" applyBorder="1" applyAlignment="1">
      <alignment horizontal="left" wrapText="1"/>
    </xf>
    <xf numFmtId="0" fontId="70" fillId="16" borderId="19" xfId="0" applyNumberFormat="1" applyFont="1" applyFill="1" applyBorder="1" applyAlignment="1">
      <alignment horizontal="center" vertical="center" wrapText="1"/>
    </xf>
    <xf numFmtId="165" fontId="80" fillId="0" borderId="21" xfId="0" applyNumberFormat="1" applyFont="1" applyBorder="1" applyAlignment="1">
      <alignment wrapText="1"/>
    </xf>
    <xf numFmtId="165" fontId="80" fillId="0" borderId="21" xfId="0" applyNumberFormat="1" applyFont="1" applyBorder="1" applyAlignment="1">
      <alignment horizontal="left" wrapText="1"/>
    </xf>
    <xf numFmtId="165" fontId="73" fillId="0" borderId="21" xfId="0" applyNumberFormat="1" applyFont="1" applyBorder="1" applyAlignment="1">
      <alignment horizontal="right" wrapText="1"/>
    </xf>
    <xf numFmtId="165" fontId="66" fillId="14" borderId="19" xfId="0" applyNumberFormat="1" applyFont="1" applyFill="1" applyBorder="1" applyAlignment="1">
      <alignment horizontal="right" vertical="center" wrapText="1"/>
    </xf>
    <xf numFmtId="0" fontId="73" fillId="0" borderId="21" xfId="0" applyFont="1" applyFill="1" applyBorder="1" applyAlignment="1">
      <alignment vertical="center" wrapText="1"/>
    </xf>
    <xf numFmtId="165" fontId="74" fillId="0" borderId="21" xfId="0" applyNumberFormat="1" applyFont="1" applyBorder="1" applyAlignment="1">
      <alignment horizontal="right" wrapText="1"/>
    </xf>
    <xf numFmtId="0" fontId="73" fillId="0" borderId="21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vertical="center" wrapText="1"/>
    </xf>
    <xf numFmtId="0" fontId="79" fillId="0" borderId="21" xfId="0" applyFont="1" applyBorder="1" applyAlignment="1">
      <alignment wrapText="1"/>
    </xf>
    <xf numFmtId="165" fontId="79" fillId="0" borderId="21" xfId="0" applyNumberFormat="1" applyFont="1" applyBorder="1" applyAlignment="1">
      <alignment horizontal="right" wrapText="1"/>
    </xf>
    <xf numFmtId="0" fontId="69" fillId="0" borderId="21" xfId="0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73" fillId="0" borderId="21" xfId="0" applyNumberFormat="1" applyFont="1" applyFill="1" applyBorder="1" applyAlignment="1">
      <alignment horizontal="left" vertical="center" wrapText="1"/>
    </xf>
    <xf numFmtId="0" fontId="81" fillId="33" borderId="22" xfId="0" applyFont="1" applyFill="1" applyBorder="1" applyAlignment="1">
      <alignment vertical="center" wrapText="1"/>
    </xf>
    <xf numFmtId="0" fontId="82" fillId="33" borderId="22" xfId="0" applyFont="1" applyFill="1" applyBorder="1" applyAlignment="1">
      <alignment vertical="center" wrapText="1"/>
    </xf>
    <xf numFmtId="0" fontId="82" fillId="33" borderId="22" xfId="0" applyFont="1" applyFill="1" applyBorder="1" applyAlignment="1">
      <alignment horizontal="left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4" fillId="33" borderId="22" xfId="0" applyFont="1" applyFill="1" applyBorder="1" applyAlignment="1">
      <alignment horizontal="center" vertical="center" wrapText="1"/>
    </xf>
    <xf numFmtId="10" fontId="83" fillId="33" borderId="22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0" fontId="86" fillId="0" borderId="0" xfId="0" applyFont="1" applyAlignment="1">
      <alignment vertical="center" wrapText="1"/>
    </xf>
    <xf numFmtId="0" fontId="86" fillId="0" borderId="0" xfId="0" applyFont="1" applyAlignment="1">
      <alignment horizontal="left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9" fontId="87" fillId="0" borderId="0" xfId="111" applyFont="1" applyFill="1" applyBorder="1" applyAlignment="1" applyProtection="1">
      <alignment horizontal="center" vertical="center" wrapText="1"/>
      <protection/>
    </xf>
    <xf numFmtId="9" fontId="87" fillId="0" borderId="23" xfId="111" applyFont="1" applyFill="1" applyBorder="1" applyAlignment="1" applyProtection="1">
      <alignment horizontal="center" vertical="center" wrapText="1"/>
      <protection/>
    </xf>
    <xf numFmtId="10" fontId="87" fillId="0" borderId="0" xfId="111" applyNumberFormat="1" applyFont="1" applyFill="1" applyBorder="1" applyAlignment="1" applyProtection="1">
      <alignment horizontal="center" vertical="center" wrapText="1"/>
      <protection/>
    </xf>
    <xf numFmtId="10" fontId="87" fillId="0" borderId="0" xfId="0" applyNumberFormat="1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>
      <alignment horizontal="center" vertical="center" wrapText="1"/>
    </xf>
    <xf numFmtId="0" fontId="87" fillId="16" borderId="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0" fontId="87" fillId="0" borderId="0" xfId="0" applyNumberFormat="1" applyFont="1" applyFill="1" applyBorder="1" applyAlignment="1">
      <alignment horizontal="center" vertical="center" wrapText="1"/>
    </xf>
    <xf numFmtId="0" fontId="85" fillId="25" borderId="0" xfId="0" applyFont="1" applyFill="1" applyAlignment="1">
      <alignment vertical="center" wrapText="1"/>
    </xf>
    <xf numFmtId="0" fontId="85" fillId="25" borderId="0" xfId="0" applyFont="1" applyFill="1" applyAlignment="1">
      <alignment horizontal="left" vertical="center" wrapText="1"/>
    </xf>
    <xf numFmtId="0" fontId="85" fillId="25" borderId="0" xfId="0" applyFont="1" applyFill="1" applyAlignment="1">
      <alignment horizontal="center" vertical="center" wrapText="1"/>
    </xf>
    <xf numFmtId="0" fontId="58" fillId="25" borderId="0" xfId="0" applyFont="1" applyFill="1" applyAlignment="1">
      <alignment horizontal="center" vertical="center" wrapText="1"/>
    </xf>
    <xf numFmtId="0" fontId="87" fillId="26" borderId="0" xfId="0" applyFont="1" applyFill="1" applyAlignment="1">
      <alignment vertical="center" wrapText="1"/>
    </xf>
    <xf numFmtId="0" fontId="89" fillId="25" borderId="0" xfId="0" applyFont="1" applyFill="1" applyAlignment="1">
      <alignment vertical="center" wrapText="1"/>
    </xf>
    <xf numFmtId="0" fontId="87" fillId="26" borderId="0" xfId="0" applyFont="1" applyFill="1" applyAlignment="1">
      <alignment horizontal="center" vertical="center" wrapText="1"/>
    </xf>
    <xf numFmtId="9" fontId="85" fillId="25" borderId="0" xfId="111" applyFont="1" applyFill="1" applyBorder="1" applyAlignment="1" applyProtection="1">
      <alignment horizontal="center" vertical="center" wrapText="1"/>
      <protection/>
    </xf>
    <xf numFmtId="0" fontId="87" fillId="16" borderId="0" xfId="0" applyFont="1" applyFill="1" applyAlignment="1">
      <alignment vertical="center" wrapText="1"/>
    </xf>
    <xf numFmtId="0" fontId="85" fillId="25" borderId="0" xfId="0" applyFont="1" applyFill="1" applyBorder="1" applyAlignment="1">
      <alignment horizontal="center" vertical="center" wrapText="1"/>
    </xf>
    <xf numFmtId="0" fontId="87" fillId="25" borderId="0" xfId="0" applyFont="1" applyFill="1" applyAlignment="1">
      <alignment horizontal="center" vertical="center" wrapText="1"/>
    </xf>
    <xf numFmtId="0" fontId="85" fillId="25" borderId="0" xfId="0" applyFont="1" applyFill="1" applyBorder="1" applyAlignment="1">
      <alignment vertical="center" wrapText="1"/>
    </xf>
    <xf numFmtId="9" fontId="0" fillId="0" borderId="0" xfId="11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24" xfId="106" applyBorder="1" applyAlignment="1">
      <alignment/>
    </xf>
    <xf numFmtId="0" fontId="0" fillId="0" borderId="25" xfId="106" applyBorder="1" applyAlignment="1">
      <alignment/>
    </xf>
    <xf numFmtId="0" fontId="0" fillId="0" borderId="26" xfId="107" applyFont="1" applyBorder="1" applyAlignment="1">
      <alignment/>
    </xf>
    <xf numFmtId="0" fontId="0" fillId="0" borderId="27" xfId="107" applyFont="1" applyBorder="1" applyAlignment="1">
      <alignment/>
    </xf>
    <xf numFmtId="0" fontId="0" fillId="0" borderId="28" xfId="106" applyBorder="1" applyAlignment="1">
      <alignment/>
    </xf>
    <xf numFmtId="0" fontId="0" fillId="0" borderId="26" xfId="63" applyBorder="1">
      <alignment horizontal="left"/>
    </xf>
    <xf numFmtId="0" fontId="0" fillId="0" borderId="29" xfId="63" applyBorder="1">
      <alignment horizontal="left"/>
    </xf>
    <xf numFmtId="0" fontId="0" fillId="0" borderId="30" xfId="110" applyBorder="1" applyAlignment="1">
      <alignment/>
    </xf>
    <xf numFmtId="0" fontId="0" fillId="0" borderId="31" xfId="63" applyBorder="1">
      <alignment horizontal="left"/>
    </xf>
    <xf numFmtId="0" fontId="0" fillId="0" borderId="32" xfId="63" applyBorder="1">
      <alignment horizontal="left"/>
    </xf>
    <xf numFmtId="0" fontId="0" fillId="0" borderId="33" xfId="110" applyBorder="1" applyAlignment="1">
      <alignment/>
    </xf>
    <xf numFmtId="0" fontId="0" fillId="0" borderId="34" xfId="63" applyBorder="1">
      <alignment horizontal="left"/>
    </xf>
    <xf numFmtId="0" fontId="0" fillId="0" borderId="35" xfId="63" applyBorder="1">
      <alignment horizontal="left"/>
    </xf>
    <xf numFmtId="0" fontId="0" fillId="0" borderId="36" xfId="110" applyBorder="1" applyAlignment="1">
      <alignment/>
    </xf>
    <xf numFmtId="0" fontId="16" fillId="0" borderId="37" xfId="109" applyFont="1" applyBorder="1">
      <alignment horizontal="left"/>
    </xf>
    <xf numFmtId="0" fontId="16" fillId="0" borderId="38" xfId="109" applyBorder="1">
      <alignment horizontal="left"/>
    </xf>
    <xf numFmtId="0" fontId="16" fillId="0" borderId="39" xfId="108" applyBorder="1" applyAlignment="1">
      <alignment/>
    </xf>
    <xf numFmtId="9" fontId="23" fillId="25" borderId="0" xfId="111" applyFont="1" applyFill="1" applyBorder="1" applyAlignment="1" applyProtection="1">
      <alignment horizontal="center" vertical="center" wrapText="1"/>
      <protection/>
    </xf>
    <xf numFmtId="0" fontId="24" fillId="25" borderId="0" xfId="0" applyNumberFormat="1" applyFont="1" applyFill="1" applyBorder="1" applyAlignment="1">
      <alignment horizontal="center" vertical="center" wrapText="1"/>
    </xf>
    <xf numFmtId="0" fontId="26" fillId="25" borderId="0" xfId="0" applyNumberFormat="1" applyFont="1" applyFill="1" applyBorder="1" applyAlignment="1">
      <alignment horizontal="center" vertical="center" wrapText="1"/>
    </xf>
    <xf numFmtId="9" fontId="27" fillId="25" borderId="23" xfId="111" applyFont="1" applyFill="1" applyBorder="1" applyAlignment="1" applyProtection="1">
      <alignment horizontal="center" vertical="center" wrapText="1"/>
      <protection/>
    </xf>
    <xf numFmtId="0" fontId="0" fillId="25" borderId="0" xfId="0" applyFont="1" applyFill="1" applyBorder="1" applyAlignment="1">
      <alignment horizontal="left" vertical="center" wrapText="1"/>
    </xf>
    <xf numFmtId="0" fontId="34" fillId="25" borderId="0" xfId="0" applyNumberFormat="1" applyFont="1" applyFill="1" applyBorder="1" applyAlignment="1">
      <alignment horizontal="center" vertical="center" wrapText="1"/>
    </xf>
    <xf numFmtId="9" fontId="24" fillId="25" borderId="0" xfId="111" applyFont="1" applyFill="1" applyBorder="1" applyAlignment="1" applyProtection="1">
      <alignment horizontal="center" vertical="center" wrapText="1"/>
      <protection/>
    </xf>
    <xf numFmtId="9" fontId="41" fillId="25" borderId="0" xfId="111" applyFont="1" applyFill="1" applyBorder="1" applyAlignment="1" applyProtection="1">
      <alignment horizontal="center" vertical="center" wrapText="1"/>
      <protection/>
    </xf>
    <xf numFmtId="0" fontId="42" fillId="25" borderId="0" xfId="0" applyNumberFormat="1" applyFont="1" applyFill="1" applyBorder="1" applyAlignment="1">
      <alignment horizontal="center" vertical="center" wrapText="1"/>
    </xf>
    <xf numFmtId="0" fontId="43" fillId="25" borderId="0" xfId="0" applyNumberFormat="1" applyFont="1" applyFill="1" applyBorder="1" applyAlignment="1">
      <alignment horizontal="center" vertical="center" wrapText="1"/>
    </xf>
    <xf numFmtId="9" fontId="45" fillId="25" borderId="23" xfId="111" applyFont="1" applyFill="1" applyBorder="1" applyAlignment="1" applyProtection="1">
      <alignment horizontal="center" vertical="center" wrapText="1"/>
      <protection/>
    </xf>
    <xf numFmtId="0" fontId="61" fillId="25" borderId="0" xfId="0" applyNumberFormat="1" applyFont="1" applyFill="1" applyBorder="1" applyAlignment="1">
      <alignment horizontal="center" vertical="center" wrapText="1"/>
    </xf>
    <xf numFmtId="0" fontId="59" fillId="26" borderId="19" xfId="0" applyFont="1" applyFill="1" applyBorder="1" applyAlignment="1">
      <alignment horizontal="center" vertical="center" wrapText="1"/>
    </xf>
    <xf numFmtId="0" fontId="59" fillId="26" borderId="19" xfId="0" applyNumberFormat="1" applyFont="1" applyFill="1" applyBorder="1" applyAlignment="1">
      <alignment horizontal="center" vertical="center" wrapText="1"/>
    </xf>
    <xf numFmtId="0" fontId="59" fillId="26" borderId="19" xfId="0" applyNumberFormat="1" applyFont="1" applyFill="1" applyBorder="1" applyAlignment="1">
      <alignment horizontal="left" vertical="center" wrapText="1"/>
    </xf>
    <xf numFmtId="9" fontId="59" fillId="26" borderId="19" xfId="111" applyFont="1" applyFill="1" applyBorder="1" applyAlignment="1" applyProtection="1">
      <alignment horizontal="center" vertical="center" wrapText="1"/>
      <protection/>
    </xf>
    <xf numFmtId="0" fontId="59" fillId="16" borderId="19" xfId="0" applyNumberFormat="1" applyFont="1" applyFill="1" applyBorder="1" applyAlignment="1">
      <alignment horizontal="center" vertical="center" wrapText="1"/>
    </xf>
    <xf numFmtId="0" fontId="0" fillId="0" borderId="40" xfId="106" applyFont="1" applyBorder="1" applyAlignment="1">
      <alignment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uena" xfId="59"/>
    <cellStyle name="Calcular" xfId="60"/>
    <cellStyle name="Calculation" xfId="61"/>
    <cellStyle name="Cálculo" xfId="62"/>
    <cellStyle name="Categoría del Piloto de Datos" xfId="63"/>
    <cellStyle name="Celda comprob." xfId="64"/>
    <cellStyle name="Celda de comprobación" xfId="65"/>
    <cellStyle name="Celda vinculada" xfId="66"/>
    <cellStyle name="Check Cell" xfId="67"/>
    <cellStyle name="Correcto" xfId="68"/>
    <cellStyle name="DataPilot Category" xfId="69"/>
    <cellStyle name="DataPilot Corner" xfId="70"/>
    <cellStyle name="DataPilot Field" xfId="71"/>
    <cellStyle name="DataPilot Result" xfId="72"/>
    <cellStyle name="DataPilot Title" xfId="73"/>
    <cellStyle name="DataPilot Value" xfId="74"/>
    <cellStyle name="Encabez. 1" xfId="75"/>
    <cellStyle name="Encabez. 2" xfId="76"/>
    <cellStyle name="Encabezado 3" xfId="77"/>
    <cellStyle name="Encabezado 4" xfId="78"/>
    <cellStyle name="Énfasis1" xfId="79"/>
    <cellStyle name="Énfasis2" xfId="80"/>
    <cellStyle name="Énfasis3" xfId="81"/>
    <cellStyle name="Énfasis4" xfId="82"/>
    <cellStyle name="Énfasis5" xfId="83"/>
    <cellStyle name="Énfasis6" xfId="84"/>
    <cellStyle name="Entrada" xfId="85"/>
    <cellStyle name="Euro" xfId="86"/>
    <cellStyle name="Explanatory Text" xfId="87"/>
    <cellStyle name="Explicación" xfId="88"/>
    <cellStyle name="Good" xfId="89"/>
    <cellStyle name="Heading 1" xfId="90"/>
    <cellStyle name="Heading 2" xfId="91"/>
    <cellStyle name="Heading 3" xfId="92"/>
    <cellStyle name="Heading 4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ta" xfId="102"/>
    <cellStyle name="Notas" xfId="103"/>
    <cellStyle name="Note" xfId="104"/>
    <cellStyle name="Output" xfId="105"/>
    <cellStyle name="Piloto de Datos Ángulo" xfId="106"/>
    <cellStyle name="Piloto de Datos Campo" xfId="107"/>
    <cellStyle name="Piloto de Datos Resultado" xfId="108"/>
    <cellStyle name="Piloto de Datos Título" xfId="109"/>
    <cellStyle name="Piloto de Datos Valor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1A1A1A"/>
      <rgbColor rgb="00808000"/>
      <rgbColor rgb="00800080"/>
      <rgbColor rgb="00004586"/>
      <rgbColor rgb="00C0C0C0"/>
      <rgbColor rgb="00808080"/>
      <rgbColor rgb="00B3B3B3"/>
      <rgbColor rgb="0066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B515"/>
      <rgbColor rgb="0000FFFF"/>
      <rgbColor rgb="00800080"/>
      <rgbColor rgb="007E0021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'Enero-Marzo'!$B$6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/>
            </c:strRef>
          </c:cat>
          <c:val>
            <c:numRef>
              <c:f>'Enero-Marzo'!$B$7:$B$11</c:f>
              <c:numCache/>
            </c:numRef>
          </c:val>
        </c:ser>
        <c:ser>
          <c:idx val="1"/>
          <c:order val="1"/>
          <c:tx>
            <c:strRef>
              <c:f>'Enero-Marzo'!$C$6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/>
            </c:strRef>
          </c:cat>
          <c:val>
            <c:numRef>
              <c:f>'Enero-Marzo'!$C$7:$C$11</c:f>
              <c:numCache/>
            </c:numRef>
          </c:val>
        </c:ser>
        <c:ser>
          <c:idx val="2"/>
          <c:order val="2"/>
          <c:tx>
            <c:strRef>
              <c:f>'Enero-Marzo'!$D$6</c:f>
              <c:strCache>
                <c:ptCount val="1"/>
                <c:pt idx="0">
                  <c:v>Retirados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/>
            </c:strRef>
          </c:cat>
          <c:val>
            <c:numRef>
              <c:f>'Enero-Marzo'!$D$7:$D$11</c:f>
              <c:numCache/>
            </c:numRef>
          </c:val>
        </c:ser>
        <c:ser>
          <c:idx val="3"/>
          <c:order val="3"/>
          <c:tx>
            <c:strRef>
              <c:f>'Enero-Marzo'!$E$6</c:f>
              <c:strCache>
                <c:ptCount val="1"/>
                <c:pt idx="0">
                  <c:v>No aprobados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/>
            </c:strRef>
          </c:cat>
          <c:val>
            <c:numRef>
              <c:f>'Enero-Marzo'!$E$7:$E$11</c:f>
              <c:numCache/>
            </c:numRef>
          </c:val>
        </c:ser>
        <c:axId val="42364080"/>
        <c:axId val="45732401"/>
      </c:bar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At val="0"/>
        <c:auto val="1"/>
        <c:lblOffset val="100"/>
        <c:tickLblSkip val="1"/>
        <c:noMultiLvlLbl val="0"/>
      </c:catAx>
      <c:valAx>
        <c:axId val="45732401"/>
        <c:scaling>
          <c:orientation val="minMax"/>
        </c:scaling>
        <c:axPos val="l"/>
        <c:delete val="1"/>
        <c:majorTickMark val="out"/>
        <c:minorTickMark val="none"/>
        <c:tickLblPos val="nextTo"/>
        <c:crossAx val="42364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975"/>
          <c:w val="0.96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'Enero-Marzo'!$B$6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'Enero-Marzo'!$B$7:$B$11</c:f>
              <c:numCache>
                <c:ptCount val="5"/>
                <c:pt idx="0">
                  <c:v>483</c:v>
                </c:pt>
                <c:pt idx="1">
                  <c:v>111</c:v>
                </c:pt>
                <c:pt idx="2">
                  <c:v>188</c:v>
                </c:pt>
                <c:pt idx="3">
                  <c:v>108</c:v>
                </c:pt>
                <c:pt idx="4">
                  <c:v>182</c:v>
                </c:pt>
              </c:numCache>
            </c:numRef>
          </c:val>
        </c:ser>
        <c:ser>
          <c:idx val="1"/>
          <c:order val="1"/>
          <c:tx>
            <c:strRef>
              <c:f>'Enero-Marzo'!$C$6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'Enero-Marzo'!$C$7:$C$11</c:f>
              <c:numCache>
                <c:ptCount val="5"/>
                <c:pt idx="0">
                  <c:v>240</c:v>
                </c:pt>
                <c:pt idx="1">
                  <c:v>77</c:v>
                </c:pt>
                <c:pt idx="2">
                  <c:v>110</c:v>
                </c:pt>
                <c:pt idx="3">
                  <c:v>75</c:v>
                </c:pt>
                <c:pt idx="4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'Enero-Marzo'!$D$6</c:f>
              <c:strCache>
                <c:ptCount val="1"/>
                <c:pt idx="0">
                  <c:v>Retirados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'Enero-Marzo'!$D$7:$D$11</c:f>
              <c:numCache>
                <c:ptCount val="5"/>
                <c:pt idx="0">
                  <c:v>232</c:v>
                </c:pt>
                <c:pt idx="1">
                  <c:v>32</c:v>
                </c:pt>
                <c:pt idx="2">
                  <c:v>40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'Enero-Marzo'!$E$6</c:f>
              <c:strCache>
                <c:ptCount val="1"/>
                <c:pt idx="0">
                  <c:v>No aprobados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'Enero-Marzo'!$E$7:$E$11</c:f>
              <c:numCache>
                <c:ptCount val="5"/>
                <c:pt idx="0">
                  <c:v>11</c:v>
                </c:pt>
                <c:pt idx="1">
                  <c:v>2</c:v>
                </c:pt>
                <c:pt idx="2">
                  <c:v>38</c:v>
                </c:pt>
                <c:pt idx="3">
                  <c:v>19</c:v>
                </c:pt>
                <c:pt idx="4">
                  <c:v>27</c:v>
                </c:pt>
              </c:numCache>
            </c:numRef>
          </c:val>
        </c:ser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0"/>
        <c:auto val="1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delete val="1"/>
        <c:majorTickMark val="out"/>
        <c:minorTickMark val="none"/>
        <c:tickLblPos val="nextTo"/>
        <c:crossAx val="2682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625"/>
          <c:w val="0.96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'Enero-Marzo'!$B$36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'Enero-Marzo'!$B$37:$B$41</c:f>
              <c:numCache>
                <c:ptCount val="5"/>
                <c:pt idx="0">
                  <c:v>224</c:v>
                </c:pt>
                <c:pt idx="1">
                  <c:v>105</c:v>
                </c:pt>
                <c:pt idx="2">
                  <c:v>196</c:v>
                </c:pt>
                <c:pt idx="3">
                  <c:v>112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'Enero-Marzo'!$C$36</c:f>
              <c:strCache>
                <c:ptCount val="1"/>
                <c:pt idx="0">
                  <c:v>Virtuales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'Enero-Marzo'!$C$37:$C$41</c:f>
              <c:numCache>
                <c:ptCount val="5"/>
                <c:pt idx="0">
                  <c:v>240</c:v>
                </c:pt>
                <c:pt idx="1">
                  <c:v>240</c:v>
                </c:pt>
                <c:pt idx="2">
                  <c:v>360</c:v>
                </c:pt>
                <c:pt idx="3">
                  <c:v>121</c:v>
                </c:pt>
                <c:pt idx="4">
                  <c:v>240</c:v>
                </c:pt>
              </c:numCache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2033"/>
        <c:crossesAt val="0"/>
        <c:auto val="1"/>
        <c:lblOffset val="100"/>
        <c:tickLblSkip val="1"/>
        <c:noMultiLvlLbl val="0"/>
      </c:catAx>
      <c:valAx>
        <c:axId val="9212033"/>
        <c:scaling>
          <c:orientation val="minMax"/>
        </c:scaling>
        <c:axPos val="l"/>
        <c:delete val="1"/>
        <c:majorTickMark val="out"/>
        <c:minorTickMark val="none"/>
        <c:tickLblPos val="nextTo"/>
        <c:crossAx val="15936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625"/>
          <c:w val="0.957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'Julio-Septiembre'!$B$25</c:f>
              <c:strCache>
                <c:ptCount val="1"/>
                <c:pt idx="0">
                  <c:v>JUECES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'Julio-Septiembre'!$B$32</c:f>
              <c:numCache/>
            </c:numRef>
          </c:val>
        </c:ser>
        <c:ser>
          <c:idx val="1"/>
          <c:order val="1"/>
          <c:tx>
            <c:strRef>
              <c:f>'Julio-Septiembre'!$C$25</c:f>
              <c:strCache>
                <c:ptCount val="1"/>
                <c:pt idx="0">
                  <c:v>DEFENSORES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'Julio-Septiembre'!$C$32</c:f>
              <c:numCache/>
            </c:numRef>
          </c:val>
        </c:ser>
        <c:ser>
          <c:idx val="2"/>
          <c:order val="2"/>
          <c:tx>
            <c:strRef>
              <c:f>'Julio-Septiembre'!$D$25</c:f>
              <c:strCache>
                <c:ptCount val="1"/>
                <c:pt idx="0">
                  <c:v>EMPLEADOS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'Julio-Septiembre'!$D$32</c:f>
              <c:numCache/>
            </c:numRef>
          </c:val>
        </c:ser>
        <c:ser>
          <c:idx val="3"/>
          <c:order val="3"/>
          <c:tx>
            <c:strRef>
              <c:f>'Julio-Septiembre'!$E$25</c:f>
              <c:strCache>
                <c:ptCount val="1"/>
                <c:pt idx="0">
                  <c:v>COMUNIDAD J.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'Julio-Septiembre'!$E$32</c:f>
              <c:numCache/>
            </c:numRef>
          </c:val>
        </c:ser>
        <c:ser>
          <c:idx val="4"/>
          <c:order val="4"/>
          <c:tx>
            <c:strRef>
              <c:f>'Julio-Septiembre'!$F$25</c:f>
              <c:strCache>
                <c:ptCount val="1"/>
                <c:pt idx="0">
                  <c:v>Otros P?blicos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'Julio-Septiembre'!$F$32</c:f>
              <c:numCache/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delete val="1"/>
        <c:majorTickMark val="out"/>
        <c:minorTickMark val="none"/>
        <c:tickLblPos val="nextTo"/>
        <c:crossAx val="7977179"/>
        <c:crossesAt val="0"/>
        <c:auto val="1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delete val="1"/>
        <c:majorTickMark val="out"/>
        <c:minorTickMark val="none"/>
        <c:tickLblPos val="nextTo"/>
        <c:crossAx val="15799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5"/>
          <c:y val="0.1785"/>
          <c:w val="0.486"/>
          <c:h val="0.6335"/>
        </c:manualLayout>
      </c:layout>
      <c:pieChart>
        <c:varyColors val="1"/>
        <c:ser>
          <c:idx val="0"/>
          <c:order val="0"/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'Abril-Junio'!$C$6:$E$6</c:f>
              <c:strCache>
                <c:ptCount val="3"/>
                <c:pt idx="0">
                  <c:v>Aprobados</c:v>
                </c:pt>
                <c:pt idx="1">
                  <c:v>Retirados</c:v>
                </c:pt>
                <c:pt idx="2">
                  <c:v>No aprobados</c:v>
                </c:pt>
              </c:strCache>
            </c:strRef>
          </c:cat>
          <c:val>
            <c:numRef>
              <c:f>'Abril-Junio'!$C$13:$E$13</c:f>
              <c:numCache>
                <c:ptCount val="3"/>
                <c:pt idx="0">
                  <c:v>508</c:v>
                </c:pt>
                <c:pt idx="1">
                  <c:v>269</c:v>
                </c:pt>
                <c:pt idx="2">
                  <c:v>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Resultado por ?rea de Proyecto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855"/>
          <c:w val="0.952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'Octubre-Diciembre'!$B$6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'Octubre-Diciembre'!$A$7:$A$11</c:f>
              <c:strCache/>
            </c:strRef>
          </c:cat>
          <c:val>
            <c:numRef>
              <c:f>'Octubre-Diciembre'!$B$7:$B$11</c:f>
              <c:numCache/>
            </c:numRef>
          </c:val>
        </c:ser>
        <c:ser>
          <c:idx val="1"/>
          <c:order val="1"/>
          <c:tx>
            <c:strRef>
              <c:f>'Octubre-Diciembre'!$C$6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'Octubre-Diciembre'!$A$7:$A$11</c:f>
              <c:strCache/>
            </c:strRef>
          </c:cat>
          <c:val>
            <c:numRef>
              <c:f>'Octubre-Diciembre'!$C$7:$C$11</c:f>
              <c:numCache/>
            </c:numRef>
          </c:val>
        </c:ser>
        <c:ser>
          <c:idx val="2"/>
          <c:order val="2"/>
          <c:tx>
            <c:strRef>
              <c:f>'Octubre-Diciembre'!$D$6</c:f>
              <c:strCache>
                <c:ptCount val="1"/>
                <c:pt idx="0">
                  <c:v>Retirados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'Octubre-Diciembre'!$A$7:$A$11</c:f>
              <c:strCache/>
            </c:strRef>
          </c:cat>
          <c:val>
            <c:numRef>
              <c:f>'Octubre-Diciembre'!$D$7:$D$11</c:f>
              <c:numCache/>
            </c:numRef>
          </c:val>
        </c:ser>
        <c:ser>
          <c:idx val="3"/>
          <c:order val="3"/>
          <c:tx>
            <c:strRef>
              <c:f>'Octubre-Diciembre'!$E$6</c:f>
              <c:strCache>
                <c:ptCount val="1"/>
                <c:pt idx="0">
                  <c:v>No aprobados</c:v>
                </c:pt>
              </c:strCache>
            </c:strRef>
          </c:tx>
          <c:spPr>
            <a:solidFill>
              <a:srgbClr val="0047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'Octubre-Diciembre'!$A$7:$A$11</c:f>
              <c:strCache/>
            </c:strRef>
          </c:cat>
          <c:val>
            <c:numRef>
              <c:f>'Octubre-Diciembre'!$E$7:$E$11</c:f>
              <c:numCache/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0"/>
        <c:auto val="1"/>
        <c:lblOffset val="100"/>
        <c:tickLblSkip val="1"/>
        <c:noMultiLvlLbl val="0"/>
      </c:catAx>
      <c:valAx>
        <c:axId val="42171733"/>
        <c:scaling>
          <c:orientation val="minMax"/>
        </c:scaling>
        <c:axPos val="l"/>
        <c:delete val="1"/>
        <c:majorTickMark val="out"/>
        <c:minorTickMark val="none"/>
        <c:tickLblPos val="nextTo"/>
        <c:crossAx val="4685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67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'Enero-Marzo'!$B$36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'Enero-Marzo'!$B$37:$B$41</c:f>
              <c:numCache>
                <c:ptCount val="5"/>
                <c:pt idx="0">
                  <c:v>224</c:v>
                </c:pt>
                <c:pt idx="1">
                  <c:v>105</c:v>
                </c:pt>
                <c:pt idx="2">
                  <c:v>196</c:v>
                </c:pt>
                <c:pt idx="3">
                  <c:v>112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'Enero-Marzo'!$C$36</c:f>
              <c:strCache>
                <c:ptCount val="1"/>
                <c:pt idx="0">
                  <c:v>Virtuales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'Enero-Marzo'!$C$37:$C$41</c:f>
              <c:numCache>
                <c:ptCount val="5"/>
                <c:pt idx="0">
                  <c:v>240</c:v>
                </c:pt>
                <c:pt idx="1">
                  <c:v>240</c:v>
                </c:pt>
                <c:pt idx="2">
                  <c:v>360</c:v>
                </c:pt>
                <c:pt idx="3">
                  <c:v>121</c:v>
                </c:pt>
                <c:pt idx="4">
                  <c:v>240</c:v>
                </c:pt>
              </c:numCache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At val="0"/>
        <c:auto val="1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delete val="1"/>
        <c:majorTickMark val="out"/>
        <c:minorTickMark val="none"/>
        <c:tickLblPos val="nextTo"/>
        <c:crossAx val="44001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Resultado General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725"/>
          <c:y val="0.31175"/>
          <c:w val="0.3815"/>
          <c:h val="0.43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66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'Octubre-Diciembre'!$B$6:$E$6</c:f>
              <c:strCache/>
            </c:strRef>
          </c:cat>
          <c:val>
            <c:numRef>
              <c:f>'Octubre-Diciembre'!$B$13:$E$13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03375"/>
          <c:y val="0.92225"/>
          <c:w val="0.928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Capacitados por Colectivo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9"/>
          <c:w val="0.975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'Octubre-Diciembre'!$B$24:$F$24</c:f>
              <c:strCache/>
            </c:strRef>
          </c:cat>
          <c:val>
            <c:numRef>
              <c:f>'Octubre-Diciembre'!$B$31:$F$31</c:f>
              <c:numCache/>
            </c:numRef>
          </c:val>
        </c:ser>
        <c:gapWidth val="100"/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66003625"/>
        <c:crossesAt val="0"/>
        <c:auto val="1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333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Resultado por ?rea de Proyecto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6425"/>
          <c:w val="0.952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'Año 2011'!$B$5:$B$5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2011'!$A$6:$A$10</c:f>
              <c:strCache/>
            </c:strRef>
          </c:cat>
          <c:val>
            <c:numRef>
              <c:f>'Año 2011'!$B$6:$B$10</c:f>
              <c:numCache/>
            </c:numRef>
          </c:val>
        </c:ser>
        <c:ser>
          <c:idx val="1"/>
          <c:order val="1"/>
          <c:tx>
            <c:strRef>
              <c:f>'Año 2011'!$C$5:$C$5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2011'!$A$6:$A$10</c:f>
              <c:strCache/>
            </c:strRef>
          </c:cat>
          <c:val>
            <c:numRef>
              <c:f>'Año 2011'!$C$6:$C$10</c:f>
              <c:numCache/>
            </c:numRef>
          </c:val>
        </c:ser>
        <c:ser>
          <c:idx val="2"/>
          <c:order val="2"/>
          <c:tx>
            <c:strRef>
              <c:f>'Año 2011'!$D$5:$D$5</c:f>
              <c:strCache>
                <c:ptCount val="1"/>
                <c:pt idx="0">
                  <c:v>Retirados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2011'!$A$6:$A$10</c:f>
              <c:strCache/>
            </c:strRef>
          </c:cat>
          <c:val>
            <c:numRef>
              <c:f>'Año 2011'!$D$6:$D$10</c:f>
              <c:numCache/>
            </c:numRef>
          </c:val>
        </c:ser>
        <c:ser>
          <c:idx val="3"/>
          <c:order val="3"/>
          <c:tx>
            <c:strRef>
              <c:f>'Año 2011'!$E$5:$E$5</c:f>
              <c:strCache>
                <c:ptCount val="1"/>
                <c:pt idx="0">
                  <c:v>No aprobados</c:v>
                </c:pt>
              </c:strCache>
            </c:strRef>
          </c:tx>
          <c:spPr>
            <a:solidFill>
              <a:srgbClr val="0047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'Año 2011'!$A$6:$A$10</c:f>
              <c:strCache/>
            </c:strRef>
          </c:cat>
          <c:val>
            <c:numRef>
              <c:f>'Año 2011'!$E$6:$E$10</c:f>
              <c:numCache/>
            </c:numRef>
          </c:val>
        </c:ser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At val="0"/>
        <c:auto val="1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delete val="1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Resultado General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92"/>
          <c:w val="0.425"/>
          <c:h val="0.473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66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'Año 2011'!$B$5:$E$5</c:f>
              <c:strCache/>
            </c:strRef>
          </c:cat>
          <c:val>
            <c:numRef>
              <c:f>'Año 2011'!$B$11:$E$11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93425"/>
          <c:w val="0.86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625"/>
          <c:w val="0.96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'Enero-Marzo'!$B$36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/>
            </c:strRef>
          </c:cat>
          <c:val>
            <c:numRef>
              <c:f>'Enero-Marzo'!$B$37:$B$41</c:f>
              <c:numCache/>
            </c:numRef>
          </c:val>
        </c:ser>
        <c:ser>
          <c:idx val="1"/>
          <c:order val="1"/>
          <c:tx>
            <c:strRef>
              <c:f>'Enero-Marzo'!$C$36</c:f>
              <c:strCache>
                <c:ptCount val="1"/>
                <c:pt idx="0">
                  <c:v>Virtuales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/>
            </c:strRef>
          </c:cat>
          <c:val>
            <c:numRef>
              <c:f>'Enero-Marzo'!$C$37:$C$41</c:f>
              <c:numCache/>
            </c:numRef>
          </c:val>
        </c:ser>
        <c:axId val="8938426"/>
        <c:axId val="13336971"/>
      </c:barChart>
      <c:catAx>
        <c:axId val="893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6971"/>
        <c:crossesAt val="0"/>
        <c:auto val="1"/>
        <c:lblOffset val="100"/>
        <c:tickLblSkip val="1"/>
        <c:noMultiLvlLbl val="0"/>
      </c:catAx>
      <c:valAx>
        <c:axId val="13336971"/>
        <c:scaling>
          <c:orientation val="minMax"/>
        </c:scaling>
        <c:axPos val="l"/>
        <c:delete val="1"/>
        <c:majorTickMark val="out"/>
        <c:minorTickMark val="none"/>
        <c:tickLblPos val="nextTo"/>
        <c:crossAx val="8938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Capacitados por Colectivo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682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E0021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14004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D32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420E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'Año 2011'!$B$22:$F$22</c:f>
              <c:strCache/>
            </c:strRef>
          </c:cat>
          <c:val>
            <c:numRef>
              <c:f>'Año 2011'!$B$28:$F$28</c:f>
              <c:numCache/>
            </c:numRef>
          </c:val>
        </c:ser>
        <c:gapWidth val="100"/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63393917"/>
        <c:crossesAt val="0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696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575"/>
          <c:w val="0.963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'Enero-Marzo'!$B$23</c:f>
              <c:strCache>
                <c:ptCount val="1"/>
                <c:pt idx="0">
                  <c:v>JUECES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/>
            </c:strRef>
          </c:cat>
          <c:val>
            <c:numRef>
              <c:f>'Enero-Marzo'!$B$30</c:f>
              <c:numCache/>
            </c:numRef>
          </c:val>
        </c:ser>
        <c:ser>
          <c:idx val="1"/>
          <c:order val="1"/>
          <c:tx>
            <c:strRef>
              <c:f>'Enero-Marzo'!$C$23</c:f>
              <c:strCache>
                <c:ptCount val="1"/>
                <c:pt idx="0">
                  <c:v>DEFENSORES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/>
            </c:strRef>
          </c:cat>
          <c:val>
            <c:numRef>
              <c:f>'Enero-Marzo'!$C$29:$C$30</c:f>
              <c:numCache/>
            </c:numRef>
          </c:val>
        </c:ser>
        <c:ser>
          <c:idx val="2"/>
          <c:order val="2"/>
          <c:tx>
            <c:strRef>
              <c:f>'Enero-Marzo'!$D$23</c:f>
              <c:strCache>
                <c:ptCount val="1"/>
                <c:pt idx="0">
                  <c:v>EMPLEADOS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/>
            </c:strRef>
          </c:cat>
          <c:val>
            <c:numRef>
              <c:f>'Enero-Marzo'!$D$29:$D$30</c:f>
              <c:numCache/>
            </c:numRef>
          </c:val>
        </c:ser>
        <c:ser>
          <c:idx val="3"/>
          <c:order val="3"/>
          <c:tx>
            <c:strRef>
              <c:f>'Enero-Marzo'!$E$23</c:f>
              <c:strCache>
                <c:ptCount val="1"/>
                <c:pt idx="0">
                  <c:v>COMUNIDAD J.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/>
            </c:strRef>
          </c:cat>
          <c:val>
            <c:numRef>
              <c:f>'Enero-Marzo'!$E$30</c:f>
              <c:numCache/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2837"/>
        <c:crossesAt val="0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delete val="1"/>
        <c:majorTickMark val="out"/>
        <c:minorTickMark val="none"/>
        <c:tickLblPos val="nextTo"/>
        <c:crossAx val="52923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25"/>
          <c:w val="0.963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'Enero-Marzo'!$B$62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'Enero-Marzo'!$A$63:$A$68</c:f>
              <c:strCache/>
            </c:strRef>
          </c:cat>
          <c:val>
            <c:numRef>
              <c:f>'Enero-Marzo'!$B$63:$B$68</c:f>
              <c:numCache/>
            </c:numRef>
          </c:val>
        </c:ser>
        <c:ser>
          <c:idx val="1"/>
          <c:order val="1"/>
          <c:tx>
            <c:strRef>
              <c:f>'Enero-Marzo'!$D$62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'Enero-Marzo'!$A$63:$A$68</c:f>
              <c:strCache/>
            </c:strRef>
          </c:cat>
          <c:val>
            <c:numRef>
              <c:f>'Enero-Marzo'!$D$63:$D$68</c:f>
              <c:numCache/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17759"/>
        <c:crossesAt val="0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delete val="1"/>
        <c:majorTickMark val="out"/>
        <c:minorTickMark val="none"/>
        <c:tickLblPos val="nextTo"/>
        <c:crossAx val="58975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"/>
          <c:y val="0.21975"/>
          <c:w val="0.3995"/>
          <c:h val="0.556"/>
        </c:manualLayout>
      </c:layout>
      <c:pieChart>
        <c:varyColors val="1"/>
        <c:ser>
          <c:idx val="0"/>
          <c:order val="0"/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'Enero-Marzo'!$C$6:$E$6</c:f>
              <c:strCache/>
            </c:strRef>
          </c:cat>
          <c:val>
            <c:numRef>
              <c:f>'Enero-Marzo'!$C$13:$E$13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967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'Enero-Marzo'!$B$6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'Enero-Marzo'!$B$7:$B$11</c:f>
              <c:numCache>
                <c:ptCount val="5"/>
                <c:pt idx="0">
                  <c:v>483</c:v>
                </c:pt>
                <c:pt idx="1">
                  <c:v>111</c:v>
                </c:pt>
                <c:pt idx="2">
                  <c:v>188</c:v>
                </c:pt>
                <c:pt idx="3">
                  <c:v>108</c:v>
                </c:pt>
                <c:pt idx="4">
                  <c:v>182</c:v>
                </c:pt>
              </c:numCache>
            </c:numRef>
          </c:val>
        </c:ser>
        <c:ser>
          <c:idx val="1"/>
          <c:order val="1"/>
          <c:tx>
            <c:strRef>
              <c:f>'Enero-Marzo'!$C$6</c:f>
              <c:strCache>
                <c:ptCount val="1"/>
                <c:pt idx="0">
                  <c:v>Aprobados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'Enero-Marzo'!$C$7:$C$11</c:f>
              <c:numCache>
                <c:ptCount val="5"/>
                <c:pt idx="0">
                  <c:v>240</c:v>
                </c:pt>
                <c:pt idx="1">
                  <c:v>77</c:v>
                </c:pt>
                <c:pt idx="2">
                  <c:v>110</c:v>
                </c:pt>
                <c:pt idx="3">
                  <c:v>75</c:v>
                </c:pt>
                <c:pt idx="4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'Enero-Marzo'!$D$6</c:f>
              <c:strCache>
                <c:ptCount val="1"/>
                <c:pt idx="0">
                  <c:v>Retirados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'Enero-Marzo'!$D$7:$D$11</c:f>
              <c:numCache>
                <c:ptCount val="5"/>
                <c:pt idx="0">
                  <c:v>232</c:v>
                </c:pt>
                <c:pt idx="1">
                  <c:v>32</c:v>
                </c:pt>
                <c:pt idx="2">
                  <c:v>40</c:v>
                </c:pt>
                <c:pt idx="3">
                  <c:v>14</c:v>
                </c:pt>
                <c:pt idx="4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'Enero-Marzo'!$E$6</c:f>
              <c:strCache>
                <c:ptCount val="1"/>
                <c:pt idx="0">
                  <c:v>No aprobados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'Enero-Marzo'!$A$7:$A$11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F.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'Enero-Marzo'!$E$7:$E$11</c:f>
              <c:numCache>
                <c:ptCount val="5"/>
                <c:pt idx="0">
                  <c:v>11</c:v>
                </c:pt>
                <c:pt idx="1">
                  <c:v>2</c:v>
                </c:pt>
                <c:pt idx="2">
                  <c:v>38</c:v>
                </c:pt>
                <c:pt idx="3">
                  <c:v>19</c:v>
                </c:pt>
                <c:pt idx="4">
                  <c:v>27</c:v>
                </c:pt>
              </c:numCache>
            </c:numRef>
          </c:val>
        </c:ser>
        <c:axId val="12288920"/>
        <c:axId val="43491417"/>
      </c:bar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1417"/>
        <c:crossesAt val="0"/>
        <c:auto val="1"/>
        <c:lblOffset val="100"/>
        <c:tickLblSkip val="1"/>
        <c:noMultiLvlLbl val="0"/>
      </c:catAx>
      <c:valAx>
        <c:axId val="43491417"/>
        <c:scaling>
          <c:orientation val="minMax"/>
        </c:scaling>
        <c:axPos val="l"/>
        <c:delete val="1"/>
        <c:majorTickMark val="out"/>
        <c:minorTickMark val="none"/>
        <c:tickLblPos val="nextTo"/>
        <c:crossAx val="12288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625"/>
          <c:w val="0.96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'Enero-Marzo'!$B$36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'Enero-Marzo'!$B$37:$B$41</c:f>
              <c:numCache>
                <c:ptCount val="5"/>
                <c:pt idx="0">
                  <c:v>224</c:v>
                </c:pt>
                <c:pt idx="1">
                  <c:v>105</c:v>
                </c:pt>
                <c:pt idx="2">
                  <c:v>196</c:v>
                </c:pt>
                <c:pt idx="3">
                  <c:v>112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'Enero-Marzo'!$C$36</c:f>
              <c:strCache>
                <c:ptCount val="1"/>
                <c:pt idx="0">
                  <c:v>Virtuales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'Enero-Marzo'!$A$37:$A$41</c:f>
              <c:strCache>
                <c:ptCount val="5"/>
                <c:pt idx="0">
                  <c:v>PENAL</c:v>
                </c:pt>
                <c:pt idx="1">
                  <c:v>CIVIL</c:v>
                </c:pt>
                <c:pt idx="2">
                  <c:v>PRINCIPIOS FUNDAMENTALES</c:v>
                </c:pt>
                <c:pt idx="3">
                  <c:v>FUNCIONAL</c:v>
                </c:pt>
                <c:pt idx="4">
                  <c:v>INTEGRAL</c:v>
                </c:pt>
              </c:strCache>
            </c:strRef>
          </c:cat>
          <c:val>
            <c:numRef>
              <c:f>'Enero-Marzo'!$C$37:$C$41</c:f>
              <c:numCache>
                <c:ptCount val="5"/>
                <c:pt idx="0">
                  <c:v>240</c:v>
                </c:pt>
                <c:pt idx="1">
                  <c:v>240</c:v>
                </c:pt>
                <c:pt idx="2">
                  <c:v>360</c:v>
                </c:pt>
                <c:pt idx="3">
                  <c:v>121</c:v>
                </c:pt>
                <c:pt idx="4">
                  <c:v>240</c:v>
                </c:pt>
              </c:numCache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0"/>
        <c:auto val="1"/>
        <c:lblOffset val="100"/>
        <c:tickLblSkip val="1"/>
        <c:noMultiLvlLbl val="0"/>
      </c:catAx>
      <c:valAx>
        <c:axId val="33143859"/>
        <c:scaling>
          <c:orientation val="minMax"/>
        </c:scaling>
        <c:axPos val="l"/>
        <c:delete val="1"/>
        <c:majorTickMark val="out"/>
        <c:minorTickMark val="none"/>
        <c:tickLblPos val="nextTo"/>
        <c:crossAx val="55878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775"/>
          <c:w val="0.963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'Enero-Marzo'!$B$23</c:f>
              <c:strCache>
                <c:ptCount val="1"/>
                <c:pt idx="0">
                  <c:v>JUECES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>
                <c:ptCount val="1"/>
                <c:pt idx="0">
                  <c:v>TOTAL DE CAPACITADOS</c:v>
                </c:pt>
              </c:strCache>
            </c:strRef>
          </c:cat>
          <c:val>
            <c:numRef>
              <c:f>'Enero-Marzo'!$B$30</c:f>
              <c:numCache>
                <c:ptCount val="1"/>
                <c:pt idx="0">
                  <c:v>284</c:v>
                </c:pt>
              </c:numCache>
            </c:numRef>
          </c:val>
        </c:ser>
        <c:ser>
          <c:idx val="1"/>
          <c:order val="1"/>
          <c:tx>
            <c:strRef>
              <c:f>'Enero-Marzo'!$C$23</c:f>
              <c:strCache>
                <c:ptCount val="1"/>
                <c:pt idx="0">
                  <c:v>DEFENSORES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>
                <c:ptCount val="1"/>
                <c:pt idx="0">
                  <c:v>TOTAL DE CAPACITADOS</c:v>
                </c:pt>
              </c:strCache>
            </c:strRef>
          </c:cat>
          <c:val>
            <c:numRef>
              <c:f>'Enero-Marzo'!$C$29:$C$30</c:f>
              <c:numCache>
                <c:ptCount val="1"/>
                <c:pt idx="0">
                  <c:v>57</c:v>
                </c:pt>
              </c:numCache>
            </c:numRef>
          </c:val>
        </c:ser>
        <c:ser>
          <c:idx val="2"/>
          <c:order val="2"/>
          <c:tx>
            <c:strRef>
              <c:f>'Enero-Marzo'!$D$23</c:f>
              <c:strCache>
                <c:ptCount val="1"/>
                <c:pt idx="0">
                  <c:v>EMPLEADOS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>
                <c:ptCount val="1"/>
                <c:pt idx="0">
                  <c:v>TOTAL DE CAPACITADOS</c:v>
                </c:pt>
              </c:strCache>
            </c:strRef>
          </c:cat>
          <c:val>
            <c:numRef>
              <c:f>'Enero-Marzo'!$D$29:$D$30</c:f>
              <c:numCache>
                <c:ptCount val="1"/>
                <c:pt idx="0">
                  <c:v>260</c:v>
                </c:pt>
              </c:numCache>
            </c:numRef>
          </c:val>
        </c:ser>
        <c:ser>
          <c:idx val="3"/>
          <c:order val="3"/>
          <c:tx>
            <c:strRef>
              <c:f>'Enero-Marzo'!$E$23</c:f>
              <c:strCache>
                <c:ptCount val="1"/>
                <c:pt idx="0">
                  <c:v>COMUNIDAD J.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'Enero-Marzo'!$A$29:$A$30</c:f>
              <c:strCache>
                <c:ptCount val="1"/>
                <c:pt idx="0">
                  <c:v>TOTAL DE CAPACITADOS</c:v>
                </c:pt>
              </c:strCache>
            </c:strRef>
          </c:cat>
          <c:val>
            <c:numRef>
              <c:f>'Enero-Marzo'!$E$30</c:f>
              <c:numCache>
                <c:ptCount val="1"/>
                <c:pt idx="0">
                  <c:v>44</c:v>
                </c:pt>
              </c:numCache>
            </c:numRef>
          </c:val>
        </c:ser>
        <c:axId val="29859276"/>
        <c:axId val="298029"/>
      </c:barChart>
      <c:catAx>
        <c:axId val="29859276"/>
        <c:scaling>
          <c:orientation val="minMax"/>
        </c:scaling>
        <c:axPos val="b"/>
        <c:delete val="1"/>
        <c:majorTickMark val="out"/>
        <c:minorTickMark val="none"/>
        <c:tickLblPos val="nextTo"/>
        <c:crossAx val="298029"/>
        <c:crossesAt val="0"/>
        <c:auto val="1"/>
        <c:lblOffset val="100"/>
        <c:tickLblSkip val="1"/>
        <c:noMultiLvlLbl val="0"/>
      </c:catAx>
      <c:valAx>
        <c:axId val="298029"/>
        <c:scaling>
          <c:orientation val="minMax"/>
        </c:scaling>
        <c:axPos val="l"/>
        <c:delete val="1"/>
        <c:majorTickMark val="out"/>
        <c:minorTickMark val="none"/>
        <c:tickLblPos val="nextTo"/>
        <c:crossAx val="29859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25"/>
          <c:y val="0.26125"/>
          <c:w val="0.42525"/>
          <c:h val="0.473"/>
        </c:manualLayout>
      </c:layout>
      <c:pieChart>
        <c:varyColors val="1"/>
        <c:ser>
          <c:idx val="0"/>
          <c:order val="0"/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1A1A1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'Abril-Junio'!$C$6:$E$6</c:f>
              <c:strCache/>
            </c:strRef>
          </c:cat>
          <c:val>
            <c:numRef>
              <c:f>'Abril-Junio'!$C$13:$E$13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257175</xdr:rowOff>
    </xdr:from>
    <xdr:to>
      <xdr:col>14</xdr:col>
      <xdr:colOff>552450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6791325" y="523875"/>
        <a:ext cx="5534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33</xdr:row>
      <xdr:rowOff>190500</xdr:rowOff>
    </xdr:from>
    <xdr:to>
      <xdr:col>13</xdr:col>
      <xdr:colOff>581025</xdr:colOff>
      <xdr:row>45</xdr:row>
      <xdr:rowOff>257175</xdr:rowOff>
    </xdr:to>
    <xdr:graphicFrame>
      <xdr:nvGraphicFramePr>
        <xdr:cNvPr id="2" name="Gráfico 2"/>
        <xdr:cNvGraphicFramePr/>
      </xdr:nvGraphicFramePr>
      <xdr:xfrm>
        <a:off x="6153150" y="9096375"/>
        <a:ext cx="5591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16</xdr:row>
      <xdr:rowOff>304800</xdr:rowOff>
    </xdr:from>
    <xdr:to>
      <xdr:col>14</xdr:col>
      <xdr:colOff>219075</xdr:colOff>
      <xdr:row>30</xdr:row>
      <xdr:rowOff>123825</xdr:rowOff>
    </xdr:to>
    <xdr:graphicFrame>
      <xdr:nvGraphicFramePr>
        <xdr:cNvPr id="3" name="Gráfico 3"/>
        <xdr:cNvGraphicFramePr/>
      </xdr:nvGraphicFramePr>
      <xdr:xfrm>
        <a:off x="6791325" y="4257675"/>
        <a:ext cx="52006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53</xdr:row>
      <xdr:rowOff>9525</xdr:rowOff>
    </xdr:from>
    <xdr:to>
      <xdr:col>13</xdr:col>
      <xdr:colOff>552450</xdr:colOff>
      <xdr:row>69</xdr:row>
      <xdr:rowOff>9525</xdr:rowOff>
    </xdr:to>
    <xdr:graphicFrame>
      <xdr:nvGraphicFramePr>
        <xdr:cNvPr id="4" name="Gráfico 4"/>
        <xdr:cNvGraphicFramePr/>
      </xdr:nvGraphicFramePr>
      <xdr:xfrm>
        <a:off x="6819900" y="14144625"/>
        <a:ext cx="489585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</xdr:colOff>
      <xdr:row>2</xdr:row>
      <xdr:rowOff>104775</xdr:rowOff>
    </xdr:from>
    <xdr:to>
      <xdr:col>23</xdr:col>
      <xdr:colOff>9525</xdr:colOff>
      <xdr:row>15</xdr:row>
      <xdr:rowOff>190500</xdr:rowOff>
    </xdr:to>
    <xdr:graphicFrame>
      <xdr:nvGraphicFramePr>
        <xdr:cNvPr id="5" name="Gráfico 5"/>
        <xdr:cNvGraphicFramePr/>
      </xdr:nvGraphicFramePr>
      <xdr:xfrm>
        <a:off x="13611225" y="733425"/>
        <a:ext cx="365760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123825</xdr:rowOff>
    </xdr:from>
    <xdr:to>
      <xdr:col>14</xdr:col>
      <xdr:colOff>552450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6791325" y="285750"/>
        <a:ext cx="55340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35</xdr:row>
      <xdr:rowOff>180975</xdr:rowOff>
    </xdr:from>
    <xdr:to>
      <xdr:col>13</xdr:col>
      <xdr:colOff>581025</xdr:colOff>
      <xdr:row>47</xdr:row>
      <xdr:rowOff>238125</xdr:rowOff>
    </xdr:to>
    <xdr:graphicFrame>
      <xdr:nvGraphicFramePr>
        <xdr:cNvPr id="2" name="Gráfico 2"/>
        <xdr:cNvGraphicFramePr/>
      </xdr:nvGraphicFramePr>
      <xdr:xfrm>
        <a:off x="6153150" y="9067800"/>
        <a:ext cx="55911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314325</xdr:colOff>
      <xdr:row>20</xdr:row>
      <xdr:rowOff>142875</xdr:rowOff>
    </xdr:from>
    <xdr:to>
      <xdr:col>17</xdr:col>
      <xdr:colOff>38100</xdr:colOff>
      <xdr:row>33</xdr:row>
      <xdr:rowOff>409575</xdr:rowOff>
    </xdr:to>
    <xdr:graphicFrame>
      <xdr:nvGraphicFramePr>
        <xdr:cNvPr id="3" name="Gráfico 3"/>
        <xdr:cNvGraphicFramePr/>
      </xdr:nvGraphicFramePr>
      <xdr:xfrm>
        <a:off x="8429625" y="4886325"/>
        <a:ext cx="52101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276225</xdr:colOff>
      <xdr:row>5</xdr:row>
      <xdr:rowOff>47625</xdr:rowOff>
    </xdr:from>
    <xdr:to>
      <xdr:col>22</xdr:col>
      <xdr:colOff>276225</xdr:colOff>
      <xdr:row>17</xdr:row>
      <xdr:rowOff>161925</xdr:rowOff>
    </xdr:to>
    <xdr:graphicFrame>
      <xdr:nvGraphicFramePr>
        <xdr:cNvPr id="4" name="Gráfico 4"/>
        <xdr:cNvGraphicFramePr/>
      </xdr:nvGraphicFramePr>
      <xdr:xfrm>
        <a:off x="13877925" y="857250"/>
        <a:ext cx="30480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0.95375</cdr:y>
    </cdr:from>
    <cdr:to>
      <cdr:x>0.0205</cdr:x>
      <cdr:y>0.954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335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0.95375</cdr:y>
    </cdr:from>
    <cdr:to>
      <cdr:x>0.0205</cdr:x>
      <cdr:y>0.954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3335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0.95375</cdr:y>
    </cdr:from>
    <cdr:to>
      <cdr:x>0.0205</cdr:x>
      <cdr:y>0.954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335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</cdr:x>
      <cdr:y>0.95375</cdr:y>
    </cdr:from>
    <cdr:to>
      <cdr:x>0.0205</cdr:x>
      <cdr:y>0.954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3335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28575</xdr:rowOff>
    </xdr:from>
    <xdr:to>
      <xdr:col>14</xdr:col>
      <xdr:colOff>552450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6905625" y="295275"/>
        <a:ext cx="55340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35</xdr:row>
      <xdr:rowOff>180975</xdr:rowOff>
    </xdr:from>
    <xdr:to>
      <xdr:col>13</xdr:col>
      <xdr:colOff>581025</xdr:colOff>
      <xdr:row>47</xdr:row>
      <xdr:rowOff>238125</xdr:rowOff>
    </xdr:to>
    <xdr:graphicFrame>
      <xdr:nvGraphicFramePr>
        <xdr:cNvPr id="2" name="Gráfico 2"/>
        <xdr:cNvGraphicFramePr/>
      </xdr:nvGraphicFramePr>
      <xdr:xfrm>
        <a:off x="6267450" y="8743950"/>
        <a:ext cx="55911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314325</xdr:colOff>
      <xdr:row>20</xdr:row>
      <xdr:rowOff>28575</xdr:rowOff>
    </xdr:from>
    <xdr:to>
      <xdr:col>19</xdr:col>
      <xdr:colOff>352425</xdr:colOff>
      <xdr:row>33</xdr:row>
      <xdr:rowOff>762000</xdr:rowOff>
    </xdr:to>
    <xdr:graphicFrame>
      <xdr:nvGraphicFramePr>
        <xdr:cNvPr id="3" name="Gráfico 3"/>
        <xdr:cNvGraphicFramePr/>
      </xdr:nvGraphicFramePr>
      <xdr:xfrm>
        <a:off x="8543925" y="4219575"/>
        <a:ext cx="67437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485775</xdr:colOff>
      <xdr:row>5</xdr:row>
      <xdr:rowOff>47625</xdr:rowOff>
    </xdr:from>
    <xdr:to>
      <xdr:col>22</xdr:col>
      <xdr:colOff>285750</xdr:colOff>
      <xdr:row>24</xdr:row>
      <xdr:rowOff>123825</xdr:rowOff>
    </xdr:to>
    <xdr:graphicFrame>
      <xdr:nvGraphicFramePr>
        <xdr:cNvPr id="4" name="Gráfico 4"/>
        <xdr:cNvGraphicFramePr/>
      </xdr:nvGraphicFramePr>
      <xdr:xfrm>
        <a:off x="12372975" y="1095375"/>
        <a:ext cx="46767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104775</xdr:rowOff>
    </xdr:from>
    <xdr:to>
      <xdr:col>13</xdr:col>
      <xdr:colOff>190500</xdr:colOff>
      <xdr:row>15</xdr:row>
      <xdr:rowOff>9525</xdr:rowOff>
    </xdr:to>
    <xdr:graphicFrame>
      <xdr:nvGraphicFramePr>
        <xdr:cNvPr id="1" name="Gráfico 1"/>
        <xdr:cNvGraphicFramePr/>
      </xdr:nvGraphicFramePr>
      <xdr:xfrm>
        <a:off x="7343775" y="104775"/>
        <a:ext cx="4010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39</xdr:row>
      <xdr:rowOff>142875</xdr:rowOff>
    </xdr:from>
    <xdr:to>
      <xdr:col>13</xdr:col>
      <xdr:colOff>581025</xdr:colOff>
      <xdr:row>49</xdr:row>
      <xdr:rowOff>200025</xdr:rowOff>
    </xdr:to>
    <xdr:graphicFrame>
      <xdr:nvGraphicFramePr>
        <xdr:cNvPr id="2" name="Gráfico 2"/>
        <xdr:cNvGraphicFramePr/>
      </xdr:nvGraphicFramePr>
      <xdr:xfrm>
        <a:off x="6153150" y="9582150"/>
        <a:ext cx="55911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561975</xdr:colOff>
      <xdr:row>1</xdr:row>
      <xdr:rowOff>76200</xdr:rowOff>
    </xdr:from>
    <xdr:to>
      <xdr:col>17</xdr:col>
      <xdr:colOff>552450</xdr:colOff>
      <xdr:row>16</xdr:row>
      <xdr:rowOff>9525</xdr:rowOff>
    </xdr:to>
    <xdr:graphicFrame>
      <xdr:nvGraphicFramePr>
        <xdr:cNvPr id="3" name="Gráfico 3"/>
        <xdr:cNvGraphicFramePr/>
      </xdr:nvGraphicFramePr>
      <xdr:xfrm>
        <a:off x="11115675" y="342900"/>
        <a:ext cx="30384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17</xdr:row>
      <xdr:rowOff>85725</xdr:rowOff>
    </xdr:from>
    <xdr:to>
      <xdr:col>19</xdr:col>
      <xdr:colOff>152400</xdr:colOff>
      <xdr:row>32</xdr:row>
      <xdr:rowOff>752475</xdr:rowOff>
    </xdr:to>
    <xdr:graphicFrame>
      <xdr:nvGraphicFramePr>
        <xdr:cNvPr id="4" name="Gráfico 4"/>
        <xdr:cNvGraphicFramePr/>
      </xdr:nvGraphicFramePr>
      <xdr:xfrm>
        <a:off x="7696200" y="3467100"/>
        <a:ext cx="7277100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104775</xdr:rowOff>
    </xdr:from>
    <xdr:to>
      <xdr:col>13</xdr:col>
      <xdr:colOff>190500</xdr:colOff>
      <xdr:row>14</xdr:row>
      <xdr:rowOff>104775</xdr:rowOff>
    </xdr:to>
    <xdr:graphicFrame>
      <xdr:nvGraphicFramePr>
        <xdr:cNvPr id="1" name="Gráfico 1"/>
        <xdr:cNvGraphicFramePr/>
      </xdr:nvGraphicFramePr>
      <xdr:xfrm>
        <a:off x="6781800" y="10477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1</xdr:row>
      <xdr:rowOff>152400</xdr:rowOff>
    </xdr:from>
    <xdr:to>
      <xdr:col>17</xdr:col>
      <xdr:colOff>295275</xdr:colOff>
      <xdr:row>15</xdr:row>
      <xdr:rowOff>85725</xdr:rowOff>
    </xdr:to>
    <xdr:graphicFrame>
      <xdr:nvGraphicFramePr>
        <xdr:cNvPr id="2" name="Gráfico 2"/>
        <xdr:cNvGraphicFramePr/>
      </xdr:nvGraphicFramePr>
      <xdr:xfrm>
        <a:off x="10077450" y="419100"/>
        <a:ext cx="32575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16</xdr:row>
      <xdr:rowOff>190500</xdr:rowOff>
    </xdr:from>
    <xdr:to>
      <xdr:col>16</xdr:col>
      <xdr:colOff>600075</xdr:colOff>
      <xdr:row>29</xdr:row>
      <xdr:rowOff>1190625</xdr:rowOff>
    </xdr:to>
    <xdr:graphicFrame>
      <xdr:nvGraphicFramePr>
        <xdr:cNvPr id="3" name="Gráfico 3"/>
        <xdr:cNvGraphicFramePr/>
      </xdr:nvGraphicFramePr>
      <xdr:xfrm>
        <a:off x="6962775" y="3838575"/>
        <a:ext cx="60674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323850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0382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F5:S15" sheet="DETALLES"/>
  </cacheSource>
  <cacheFields count="14">
    <cacheField name="Modalidad">
      <sharedItems containsBlank="1" containsMixedTypes="0" count="2">
        <m/>
        <s v="B-Learning"/>
      </sharedItems>
    </cacheField>
    <cacheField name="Presenciales">
      <sharedItems containsSemiMixedTypes="0" containsString="0" containsMixedTypes="0" containsNumber="1" containsInteger="1" count="4">
        <n v="653"/>
        <n v="527"/>
        <n v="63"/>
        <n v="28"/>
      </sharedItems>
    </cacheField>
    <cacheField name="Virtuales">
      <sharedItems containsSemiMixedTypes="0" containsString="0" containsMixedTypes="0" containsNumber="1" containsInteger="1" count="3">
        <n v="1081"/>
        <n v="120"/>
        <n v="121"/>
      </sharedItems>
    </cacheField>
    <cacheField name="">
      <sharedItems containsBlank="1" containsMixedTypes="0" count="6">
        <m/>
        <s v="Penal"/>
        <s v="Funcional"/>
        <s v="Civil"/>
        <s v="Principios Fundamentales"/>
        <s v="Integral"/>
      </sharedItems>
    </cacheField>
    <cacheField name="">
      <sharedItems containsSemiMixedTypes="0" containsString="0" containsMixedTypes="0" containsNumber="1" containsInteger="1" count="10">
        <n v="1072"/>
        <n v="555"/>
        <n v="38"/>
        <n v="35"/>
        <n v="42"/>
        <n v="37"/>
        <n v="57"/>
        <n v="47"/>
        <n v="31"/>
        <n v="82"/>
      </sharedItems>
    </cacheField>
    <cacheField name="Jueces">
      <sharedItems containsSemiMixedTypes="0" containsString="0" containsMixedTypes="0" containsNumber="1" containsInteger="1" count="9">
        <n v="284"/>
        <n v="46"/>
        <n v="7"/>
        <n v="8"/>
        <n v="2"/>
        <n v="5"/>
        <n v="6"/>
        <n v="18"/>
        <n v="0"/>
      </sharedItems>
    </cacheField>
    <cacheField name=" Defensores">
      <sharedItems containsSemiMixedTypes="0" containsString="0" containsMixedTypes="0" containsNumber="1" containsInteger="1" count="8">
        <n v="57"/>
        <n v="40"/>
        <n v="13"/>
        <n v="9"/>
        <n v="0"/>
        <n v="11"/>
        <n v="5"/>
        <n v="2"/>
      </sharedItems>
    </cacheField>
    <cacheField name="Otros P?blicos">
      <sharedItems containsSemiMixedTypes="0" containsString="0" containsMixedTypes="0" containsNumber="1" containsInteger="1" count="1">
        <n v="0"/>
      </sharedItems>
    </cacheField>
    <cacheField name="Comunidad Jur?dica">
      <sharedItems containsSemiMixedTypes="0" containsString="0" containsMixedTypes="0" containsNumber="1" containsInteger="1" count="5">
        <n v="44"/>
        <n v="42"/>
        <n v="0"/>
        <n v="1"/>
        <n v="2"/>
      </sharedItems>
    </cacheField>
    <cacheField name="Empleados del Poder Judicial">
      <sharedItems containsSemiMixedTypes="0" containsString="0" containsMixedTypes="0" containsNumber="1" containsInteger="1" count="8">
        <n v="260"/>
        <n v="3"/>
        <n v="4"/>
        <n v="14"/>
        <n v="20"/>
        <n v="23"/>
        <n v="8"/>
        <n v="72"/>
      </sharedItems>
    </cacheField>
    <cacheField name="F">
      <sharedItems containsSemiMixedTypes="0" containsString="0" containsMixedTypes="0" containsNumber="1" containsInteger="1" count="9">
        <n v="379"/>
        <n v="245"/>
        <n v="12"/>
        <n v="15"/>
        <n v="19"/>
        <n v="29"/>
        <n v="13"/>
        <n v="9"/>
        <n v="50"/>
      </sharedItems>
    </cacheField>
    <cacheField name="M">
      <sharedItems containsSemiMixedTypes="0" containsString="0" containsMixedTypes="0" containsNumber="1" containsInteger="1" count="9">
        <n v="229"/>
        <n v="106"/>
        <n v="11"/>
        <n v="8"/>
        <n v="2"/>
        <n v="6"/>
        <n v="14"/>
        <n v="3"/>
        <n v="22"/>
      </sharedItems>
    </cacheField>
    <cacheField name="Total de capacitados que  si  finaliz?">
      <sharedItems containsSemiMixedTypes="0" containsString="0" containsMixedTypes="0" containsNumber="1" containsInteger="1" count="10">
        <n v="645"/>
        <n v="388"/>
        <n v="23"/>
        <n v="22"/>
        <n v="17"/>
        <n v="25"/>
        <n v="40"/>
        <n v="27"/>
        <n v="12"/>
        <n v="72"/>
      </sharedItems>
    </cacheField>
    <cacheField name="">
      <sharedItems containsSemiMixedTypes="0" containsString="0" containsMixedTypes="0" containsNumber="1" count="10">
        <n v="0.601679104477612"/>
        <n v="0.6990990990990991"/>
        <n v="0.6052631578947368"/>
        <n v="0.6285714285714286"/>
        <n v="0.40476190476190477"/>
        <n v="0.6756756756756757"/>
        <n v="0.7017543859649122"/>
        <n v="0.574468085106383"/>
        <n v="0.3870967741935484"/>
        <n v="0.87804878048780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5" firstHeaderRow="2" firstDataRow="2" firstDataCol="2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compact="0" outline="0" subtotalTop="0" showAll="0"/>
    <pivotField compact="0" outline="0" subtotalTop="0" showAll="0"/>
  </pivotFields>
  <rowFields count="2">
    <field x="11"/>
    <field x="10"/>
  </rowFields>
  <rowItems count="11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Count - Total de capacitados que  si  finaliz?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C197"/>
  <sheetViews>
    <sheetView tabSelected="1" zoomScale="65" zoomScaleNormal="65" zoomScaleSheetLayoutView="65" workbookViewId="0" topLeftCell="A1">
      <selection activeCell="A2" sqref="A2:F2"/>
    </sheetView>
  </sheetViews>
  <sheetFormatPr defaultColWidth="9.140625" defaultRowHeight="12.75"/>
  <cols>
    <col min="1" max="1" width="30.7109375" style="1" customWidth="1"/>
    <col min="2" max="2" width="14.00390625" style="1" customWidth="1"/>
    <col min="3" max="3" width="14.00390625" style="2" customWidth="1"/>
    <col min="4" max="5" width="14.00390625" style="1" customWidth="1"/>
    <col min="6" max="6" width="13.421875" style="3" customWidth="1"/>
    <col min="7" max="7" width="12.421875" style="3" customWidth="1"/>
    <col min="8" max="27" width="9.140625" style="4" customWidth="1"/>
  </cols>
  <sheetData>
    <row r="1" spans="1:22" ht="21" customHeight="1">
      <c r="A1" s="256" t="s">
        <v>0</v>
      </c>
      <c r="B1" s="256"/>
      <c r="C1" s="256"/>
      <c r="D1" s="256"/>
      <c r="E1" s="256"/>
      <c r="F1" s="25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8.5" customHeight="1">
      <c r="A2" s="257" t="s">
        <v>1</v>
      </c>
      <c r="B2" s="257"/>
      <c r="C2" s="257"/>
      <c r="D2" s="257"/>
      <c r="E2" s="257"/>
      <c r="F2" s="2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6" ht="18.75" customHeight="1">
      <c r="A3" s="258" t="s">
        <v>2</v>
      </c>
      <c r="B3" s="258"/>
      <c r="C3" s="258"/>
      <c r="D3" s="258"/>
      <c r="E3" s="258"/>
      <c r="F3" s="258"/>
    </row>
    <row r="4" spans="1:5" ht="12">
      <c r="A4" s="3"/>
      <c r="B4" s="3"/>
      <c r="C4" s="10"/>
      <c r="D4" s="3"/>
      <c r="E4" s="3"/>
    </row>
    <row r="5" spans="1:5" ht="13.5" customHeight="1">
      <c r="A5" s="3"/>
      <c r="B5" s="3"/>
      <c r="C5" s="259" t="s">
        <v>3</v>
      </c>
      <c r="D5" s="259"/>
      <c r="E5" s="11"/>
    </row>
    <row r="6" spans="1:6" ht="12">
      <c r="A6" s="12" t="s">
        <v>4</v>
      </c>
      <c r="B6" s="13" t="s">
        <v>5</v>
      </c>
      <c r="C6" s="14" t="s">
        <v>6</v>
      </c>
      <c r="D6" s="12" t="s">
        <v>7</v>
      </c>
      <c r="E6" s="12" t="s">
        <v>8</v>
      </c>
      <c r="F6" s="15" t="s">
        <v>9</v>
      </c>
    </row>
    <row r="7" spans="1:6" ht="22.5" customHeight="1">
      <c r="A7" s="16" t="s">
        <v>10</v>
      </c>
      <c r="B7" s="17">
        <f>73+410</f>
        <v>483</v>
      </c>
      <c r="C7" s="17">
        <f>22+23+195</f>
        <v>240</v>
      </c>
      <c r="D7" s="17">
        <f>9+8+215</f>
        <v>232</v>
      </c>
      <c r="E7" s="17">
        <f>7+4</f>
        <v>11</v>
      </c>
      <c r="F7" s="18">
        <f>(D7+E7)/B7</f>
        <v>0.5031055900621118</v>
      </c>
    </row>
    <row r="8" spans="1:16" ht="22.5" customHeight="1">
      <c r="A8" s="16" t="s">
        <v>11</v>
      </c>
      <c r="B8" s="17">
        <f>37+29+45</f>
        <v>111</v>
      </c>
      <c r="C8" s="17">
        <f>25+14+38</f>
        <v>77</v>
      </c>
      <c r="D8" s="17">
        <f>10+15+7</f>
        <v>32</v>
      </c>
      <c r="E8" s="17">
        <v>2</v>
      </c>
      <c r="F8" s="18">
        <f>(D8+E8)/B8</f>
        <v>0.3063063063063063</v>
      </c>
      <c r="P8" s="4">
        <f>+C8/C13</f>
        <v>0.11937984496124031</v>
      </c>
    </row>
    <row r="9" spans="1:6" ht="22.5" customHeight="1">
      <c r="A9" s="19" t="s">
        <v>12</v>
      </c>
      <c r="B9" s="17">
        <f>57+47+31+53</f>
        <v>188</v>
      </c>
      <c r="C9" s="17">
        <f>40+27+12+31</f>
        <v>110</v>
      </c>
      <c r="D9" s="17">
        <f>9+5+4+22</f>
        <v>40</v>
      </c>
      <c r="E9" s="17">
        <f>8+15+15</f>
        <v>38</v>
      </c>
      <c r="F9" s="18">
        <f>(D9+E9)/B9</f>
        <v>0.4148936170212766</v>
      </c>
    </row>
    <row r="10" spans="1:6" ht="22.5" customHeight="1">
      <c r="A10" s="16" t="s">
        <v>13</v>
      </c>
      <c r="B10" s="17">
        <f>42+41+25</f>
        <v>108</v>
      </c>
      <c r="C10" s="17">
        <f>17+41+17</f>
        <v>75</v>
      </c>
      <c r="D10" s="17">
        <f>8+6</f>
        <v>14</v>
      </c>
      <c r="E10" s="17">
        <v>19</v>
      </c>
      <c r="F10" s="18">
        <f>(D10+E10)/B10</f>
        <v>0.3055555555555556</v>
      </c>
    </row>
    <row r="11" spans="1:6" ht="22.5" customHeight="1">
      <c r="A11" s="19" t="s">
        <v>14</v>
      </c>
      <c r="B11" s="17">
        <f>100+82</f>
        <v>182</v>
      </c>
      <c r="C11" s="17">
        <f>71+72</f>
        <v>143</v>
      </c>
      <c r="D11" s="17">
        <f>6+6</f>
        <v>12</v>
      </c>
      <c r="E11" s="17">
        <f>4+23</f>
        <v>27</v>
      </c>
      <c r="F11" s="18">
        <f>(D11+E11)/B11</f>
        <v>0.21428571428571427</v>
      </c>
    </row>
    <row r="12" spans="1:7" ht="17.25" customHeight="1" hidden="1">
      <c r="A12" s="19" t="s">
        <v>15</v>
      </c>
      <c r="B12" s="17"/>
      <c r="C12" s="17"/>
      <c r="D12" s="17"/>
      <c r="E12" s="17"/>
      <c r="F12" s="18">
        <v>0</v>
      </c>
      <c r="G12" s="20"/>
    </row>
    <row r="13" spans="1:6" ht="16.5">
      <c r="A13" s="12" t="s">
        <v>16</v>
      </c>
      <c r="B13" s="21">
        <f>SUM(B7:B12)</f>
        <v>1072</v>
      </c>
      <c r="C13" s="21">
        <f>SUM(C7:C12)</f>
        <v>645</v>
      </c>
      <c r="D13" s="21">
        <f>SUM(D7:D12)</f>
        <v>330</v>
      </c>
      <c r="E13" s="21">
        <f>SUM(E7:E12)</f>
        <v>97</v>
      </c>
      <c r="F13" s="22">
        <f>(+D13+E13)/B13</f>
        <v>0.3983208955223881</v>
      </c>
    </row>
    <row r="14" spans="1:6" ht="25.5" customHeight="1">
      <c r="A14" s="23"/>
      <c r="B14" s="23"/>
      <c r="C14" s="24">
        <f>+C13/B13</f>
        <v>0.601679104477612</v>
      </c>
      <c r="D14" s="24">
        <f>+D13/B13</f>
        <v>0.30783582089552236</v>
      </c>
      <c r="E14" s="24">
        <f>+E13/B13</f>
        <v>0.09048507462686567</v>
      </c>
      <c r="F14" s="25"/>
    </row>
    <row r="15" spans="1:6" ht="25.5" customHeight="1">
      <c r="A15" s="260"/>
      <c r="B15" s="260"/>
      <c r="C15" s="260"/>
      <c r="D15" s="260"/>
      <c r="E15" s="260"/>
      <c r="F15" s="260"/>
    </row>
    <row r="16" spans="1:6" ht="25.5" customHeight="1">
      <c r="A16" s="26"/>
      <c r="B16" s="26"/>
      <c r="C16" s="26"/>
      <c r="D16" s="26"/>
      <c r="E16" s="26"/>
      <c r="F16" s="26"/>
    </row>
    <row r="17" spans="1:6" ht="25.5" customHeight="1">
      <c r="A17" s="26"/>
      <c r="B17" s="26"/>
      <c r="C17" s="26"/>
      <c r="D17" s="26"/>
      <c r="E17" s="26"/>
      <c r="F17" s="26"/>
    </row>
    <row r="18" spans="1:22" ht="23.25" customHeight="1">
      <c r="A18" s="256" t="s">
        <v>0</v>
      </c>
      <c r="B18" s="256"/>
      <c r="C18" s="256"/>
      <c r="D18" s="256"/>
      <c r="E18" s="256"/>
      <c r="F18" s="256"/>
      <c r="G18" s="2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 customHeight="1">
      <c r="A19" s="256" t="s">
        <v>1</v>
      </c>
      <c r="B19" s="256"/>
      <c r="C19" s="256"/>
      <c r="D19" s="256"/>
      <c r="E19" s="256"/>
      <c r="F19" s="256"/>
      <c r="G19" s="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7" ht="23.25" customHeight="1">
      <c r="A20" s="258" t="s">
        <v>17</v>
      </c>
      <c r="B20" s="258"/>
      <c r="C20" s="258"/>
      <c r="D20" s="258"/>
      <c r="E20" s="258"/>
      <c r="F20" s="258"/>
      <c r="G20" s="28"/>
    </row>
    <row r="21" spans="1:7" s="4" customFormat="1" ht="12">
      <c r="A21" s="3"/>
      <c r="B21" s="3"/>
      <c r="C21" s="10"/>
      <c r="D21" s="3"/>
      <c r="E21" s="3"/>
      <c r="F21" s="3"/>
      <c r="G21" s="3"/>
    </row>
    <row r="22" spans="1:6" s="4" customFormat="1" ht="12">
      <c r="A22" s="12" t="s">
        <v>18</v>
      </c>
      <c r="B22" s="13">
        <v>534</v>
      </c>
      <c r="C22" s="29">
        <v>80</v>
      </c>
      <c r="D22" s="30">
        <v>366</v>
      </c>
      <c r="E22" s="12">
        <f>46+45</f>
        <v>91</v>
      </c>
      <c r="F22" s="12">
        <v>1</v>
      </c>
    </row>
    <row r="23" spans="1:29" ht="12">
      <c r="A23" s="12" t="s">
        <v>4</v>
      </c>
      <c r="B23" s="31" t="s">
        <v>19</v>
      </c>
      <c r="C23" s="32" t="s">
        <v>20</v>
      </c>
      <c r="D23" s="33" t="s">
        <v>21</v>
      </c>
      <c r="E23" s="15" t="s">
        <v>22</v>
      </c>
      <c r="F23" s="34" t="s">
        <v>23</v>
      </c>
      <c r="AB23" s="4"/>
      <c r="AC23" s="4"/>
    </row>
    <row r="24" spans="1:29" ht="16.5">
      <c r="A24" s="35" t="s">
        <v>10</v>
      </c>
      <c r="B24" s="36">
        <f>15+176</f>
        <v>191</v>
      </c>
      <c r="C24" s="36">
        <f>+22+17</f>
        <v>39</v>
      </c>
      <c r="D24" s="36">
        <f>3+4</f>
        <v>7</v>
      </c>
      <c r="E24" s="36">
        <f>+1+2</f>
        <v>3</v>
      </c>
      <c r="F24" s="36">
        <v>0</v>
      </c>
      <c r="AB24" s="4"/>
      <c r="AC24" s="4"/>
    </row>
    <row r="25" spans="1:29" ht="16.5">
      <c r="A25" s="35" t="s">
        <v>11</v>
      </c>
      <c r="B25" s="36">
        <f>5+14</f>
        <v>19</v>
      </c>
      <c r="C25" s="36">
        <v>0</v>
      </c>
      <c r="D25" s="36">
        <v>20</v>
      </c>
      <c r="E25" s="36">
        <v>38</v>
      </c>
      <c r="F25" s="36">
        <v>0</v>
      </c>
      <c r="AB25" s="4"/>
      <c r="AC25" s="4"/>
    </row>
    <row r="26" spans="1:29" ht="30.75" customHeight="1">
      <c r="A26" s="19" t="s">
        <v>24</v>
      </c>
      <c r="B26" s="36">
        <f>+24+31</f>
        <v>55</v>
      </c>
      <c r="C26" s="36">
        <v>18</v>
      </c>
      <c r="D26" s="36">
        <f>23+4+8</f>
        <v>35</v>
      </c>
      <c r="E26" s="36">
        <v>2</v>
      </c>
      <c r="F26" s="36">
        <v>0</v>
      </c>
      <c r="AB26" s="4"/>
      <c r="AC26" s="4"/>
    </row>
    <row r="27" spans="1:29" ht="16.5">
      <c r="A27" s="19" t="s">
        <v>13</v>
      </c>
      <c r="B27" s="36">
        <f>2+17</f>
        <v>19</v>
      </c>
      <c r="C27" s="36">
        <v>0</v>
      </c>
      <c r="D27" s="36">
        <f>14+41</f>
        <v>55</v>
      </c>
      <c r="E27" s="36">
        <v>1</v>
      </c>
      <c r="F27" s="36">
        <v>0</v>
      </c>
      <c r="AB27" s="4"/>
      <c r="AC27" s="4"/>
    </row>
    <row r="28" spans="1:29" ht="16.5">
      <c r="A28" s="19" t="s">
        <v>14</v>
      </c>
      <c r="B28" s="36">
        <v>0</v>
      </c>
      <c r="C28" s="36">
        <v>0</v>
      </c>
      <c r="D28" s="36">
        <f>71+72</f>
        <v>143</v>
      </c>
      <c r="E28" s="36">
        <v>0</v>
      </c>
      <c r="F28" s="36">
        <v>0</v>
      </c>
      <c r="AB28" s="4"/>
      <c r="AC28" s="4"/>
    </row>
    <row r="29" spans="1:29" ht="16.5" hidden="1">
      <c r="A29" s="19" t="s">
        <v>15</v>
      </c>
      <c r="B29" s="36"/>
      <c r="C29" s="36"/>
      <c r="D29" s="36"/>
      <c r="E29" s="36"/>
      <c r="F29" s="36"/>
      <c r="AB29" s="4"/>
      <c r="AC29" s="4"/>
    </row>
    <row r="30" spans="1:29" ht="16.5">
      <c r="A30" s="12" t="s">
        <v>16</v>
      </c>
      <c r="B30" s="37">
        <f>SUM(B24:B29)</f>
        <v>284</v>
      </c>
      <c r="C30" s="37">
        <f>SUM(C24:C29)</f>
        <v>57</v>
      </c>
      <c r="D30" s="37">
        <f>SUM(D24:D29)</f>
        <v>260</v>
      </c>
      <c r="E30" s="37">
        <f>SUM(E24:E29)</f>
        <v>44</v>
      </c>
      <c r="F30" s="37">
        <f>SUM(F24:F29)</f>
        <v>0</v>
      </c>
      <c r="AB30" s="4"/>
      <c r="AC30" s="4"/>
    </row>
    <row r="31" spans="1:29" ht="16.5">
      <c r="A31" s="29" t="s">
        <v>25</v>
      </c>
      <c r="B31" s="38">
        <f>+B30/C13</f>
        <v>0.44031007751937984</v>
      </c>
      <c r="C31" s="38">
        <f>+C30/C13</f>
        <v>0.08837209302325581</v>
      </c>
      <c r="D31" s="38">
        <f>+D30/C13</f>
        <v>0.40310077519379844</v>
      </c>
      <c r="E31" s="38">
        <f>+E30/C13</f>
        <v>0.06821705426356589</v>
      </c>
      <c r="F31" s="38">
        <f>+F30/C13</f>
        <v>0</v>
      </c>
      <c r="AB31" s="4"/>
      <c r="AC31" s="4"/>
    </row>
    <row r="32" spans="1:7" s="4" customFormat="1" ht="108" customHeight="1">
      <c r="A32" s="39"/>
      <c r="B32" s="40"/>
      <c r="C32" s="41"/>
      <c r="D32" s="42"/>
      <c r="E32" s="42"/>
      <c r="F32" s="3"/>
      <c r="G32" s="3"/>
    </row>
    <row r="33" spans="1:5" ht="21" customHeight="1">
      <c r="A33" s="256" t="s">
        <v>0</v>
      </c>
      <c r="B33" s="256"/>
      <c r="C33" s="256"/>
      <c r="D33" s="256"/>
      <c r="E33" s="5"/>
    </row>
    <row r="34" spans="1:5" ht="18" customHeight="1">
      <c r="A34" s="261" t="s">
        <v>1</v>
      </c>
      <c r="B34" s="261"/>
      <c r="C34" s="261"/>
      <c r="D34" s="261"/>
      <c r="E34" s="43"/>
    </row>
    <row r="35" spans="1:5" ht="18.75" customHeight="1">
      <c r="A35" s="258" t="s">
        <v>26</v>
      </c>
      <c r="B35" s="258"/>
      <c r="C35" s="258"/>
      <c r="D35" s="258"/>
      <c r="E35" s="9"/>
    </row>
    <row r="36" spans="1:5" ht="18" customHeight="1">
      <c r="A36" s="12" t="s">
        <v>4</v>
      </c>
      <c r="B36" s="31" t="s">
        <v>27</v>
      </c>
      <c r="C36" s="44" t="s">
        <v>28</v>
      </c>
      <c r="D36" s="29" t="s">
        <v>29</v>
      </c>
      <c r="E36" s="29"/>
    </row>
    <row r="37" spans="1:5" ht="16.5">
      <c r="A37" s="26" t="s">
        <v>10</v>
      </c>
      <c r="B37" s="45">
        <f>63+63+98</f>
        <v>224</v>
      </c>
      <c r="C37" s="45">
        <f>120+120</f>
        <v>240</v>
      </c>
      <c r="D37" s="46">
        <f aca="true" t="shared" si="0" ref="D37:D42">+C37+B37</f>
        <v>464</v>
      </c>
      <c r="E37" s="47"/>
    </row>
    <row r="38" spans="1:5" ht="16.5">
      <c r="A38" s="26" t="s">
        <v>11</v>
      </c>
      <c r="B38" s="45">
        <f>28+7+70</f>
        <v>105</v>
      </c>
      <c r="C38" s="45">
        <f>120+120</f>
        <v>240</v>
      </c>
      <c r="D38" s="46">
        <f t="shared" si="0"/>
        <v>345</v>
      </c>
      <c r="E38" s="47"/>
    </row>
    <row r="39" spans="1:5" ht="27.75" customHeight="1">
      <c r="A39" s="26" t="s">
        <v>24</v>
      </c>
      <c r="B39" s="45">
        <f>63+63+63+7</f>
        <v>196</v>
      </c>
      <c r="C39" s="45">
        <f>120+120+120</f>
        <v>360</v>
      </c>
      <c r="D39" s="46">
        <f t="shared" si="0"/>
        <v>556</v>
      </c>
      <c r="E39" s="47"/>
    </row>
    <row r="40" spans="1:5" ht="16.5">
      <c r="A40" s="26" t="s">
        <v>13</v>
      </c>
      <c r="B40" s="45">
        <f>63+35+14</f>
        <v>112</v>
      </c>
      <c r="C40" s="45">
        <v>121</v>
      </c>
      <c r="D40" s="46">
        <f t="shared" si="0"/>
        <v>233</v>
      </c>
      <c r="E40" s="47"/>
    </row>
    <row r="41" spans="1:28" s="4" customFormat="1" ht="18.75" customHeight="1">
      <c r="A41" s="26" t="s">
        <v>14</v>
      </c>
      <c r="B41" s="45">
        <f>63+23</f>
        <v>86</v>
      </c>
      <c r="C41" s="45">
        <f>120+120</f>
        <v>240</v>
      </c>
      <c r="D41" s="46">
        <f t="shared" si="0"/>
        <v>326</v>
      </c>
      <c r="E41" s="47"/>
      <c r="F41" s="3"/>
      <c r="G41" s="3"/>
      <c r="P41" s="4">
        <f>+C40/C43</f>
        <v>0.10074937552039967</v>
      </c>
      <c r="AB41"/>
    </row>
    <row r="42" spans="1:28" s="4" customFormat="1" ht="18.75" customHeight="1" hidden="1">
      <c r="A42" s="26" t="s">
        <v>15</v>
      </c>
      <c r="B42" s="47"/>
      <c r="C42" s="47"/>
      <c r="D42" s="47">
        <f t="shared" si="0"/>
        <v>0</v>
      </c>
      <c r="E42" s="47"/>
      <c r="F42" s="3"/>
      <c r="G42" s="3"/>
      <c r="P42" s="4">
        <f>+B41/B43</f>
        <v>0.11894882434301521</v>
      </c>
      <c r="AB42"/>
    </row>
    <row r="43" spans="1:5" ht="30" customHeight="1">
      <c r="A43" s="12" t="s">
        <v>30</v>
      </c>
      <c r="B43" s="37">
        <f>SUM(B37:B42)</f>
        <v>723</v>
      </c>
      <c r="C43" s="37">
        <f>SUM(C37:C42)</f>
        <v>1201</v>
      </c>
      <c r="D43" s="37">
        <f>SUM(D37:D42)</f>
        <v>1924</v>
      </c>
      <c r="E43" s="37"/>
    </row>
    <row r="44" spans="1:5" ht="16.5">
      <c r="A44" s="12" t="s">
        <v>31</v>
      </c>
      <c r="B44" s="37">
        <f>+B43/15</f>
        <v>48.2</v>
      </c>
      <c r="C44" s="37">
        <f>+C43/15</f>
        <v>80.06666666666666</v>
      </c>
      <c r="D44" s="37">
        <f>+D43/15</f>
        <v>128.26666666666668</v>
      </c>
      <c r="E44" s="37"/>
    </row>
    <row r="45" spans="1:5" ht="26.25" customHeight="1">
      <c r="A45" s="29" t="s">
        <v>32</v>
      </c>
      <c r="B45" s="38">
        <f>+B43/D43</f>
        <v>0.37577962577962576</v>
      </c>
      <c r="C45" s="38">
        <f>+C43/D43</f>
        <v>0.6242203742203742</v>
      </c>
      <c r="D45" s="38">
        <v>1</v>
      </c>
      <c r="E45" s="38"/>
    </row>
    <row r="46" spans="1:5" ht="42.75" customHeight="1">
      <c r="A46" s="3"/>
      <c r="B46" s="3"/>
      <c r="C46" s="10"/>
      <c r="D46" s="3"/>
      <c r="E46" s="3"/>
    </row>
    <row r="47" spans="1:5" ht="18.75" customHeight="1">
      <c r="A47" s="262" t="s">
        <v>0</v>
      </c>
      <c r="B47" s="262"/>
      <c r="C47" s="262"/>
      <c r="D47" s="262"/>
      <c r="E47" s="48"/>
    </row>
    <row r="48" spans="1:5" ht="18.75" customHeight="1">
      <c r="A48" s="257" t="s">
        <v>1</v>
      </c>
      <c r="B48" s="257"/>
      <c r="C48" s="257"/>
      <c r="D48" s="257"/>
      <c r="E48" s="7"/>
    </row>
    <row r="49" spans="1:5" ht="18.75" customHeight="1">
      <c r="A49" s="258" t="s">
        <v>33</v>
      </c>
      <c r="B49" s="258"/>
      <c r="C49" s="258"/>
      <c r="D49" s="258"/>
      <c r="E49" s="9"/>
    </row>
    <row r="50" spans="1:5" ht="24">
      <c r="A50" s="12" t="s">
        <v>4</v>
      </c>
      <c r="B50" s="12" t="s">
        <v>34</v>
      </c>
      <c r="C50" s="14" t="s">
        <v>35</v>
      </c>
      <c r="D50" s="12" t="s">
        <v>29</v>
      </c>
      <c r="E50" s="12"/>
    </row>
    <row r="51" spans="1:5" ht="16.5">
      <c r="A51" s="39" t="s">
        <v>10</v>
      </c>
      <c r="B51" s="49">
        <f>+B37/D37</f>
        <v>0.4827586206896552</v>
      </c>
      <c r="C51" s="49">
        <f>+C37/D37</f>
        <v>0.5172413793103449</v>
      </c>
      <c r="D51" s="49">
        <f>SUM(B51:C51)</f>
        <v>1</v>
      </c>
      <c r="E51" s="50"/>
    </row>
    <row r="52" spans="1:5" ht="16.5">
      <c r="A52" s="39" t="s">
        <v>11</v>
      </c>
      <c r="B52" s="49">
        <f>+B38/D38</f>
        <v>0.30434782608695654</v>
      </c>
      <c r="C52" s="49">
        <f>+C38/D38</f>
        <v>0.6956521739130435</v>
      </c>
      <c r="D52" s="49">
        <f>SUM(B52:C52)</f>
        <v>1</v>
      </c>
      <c r="E52" s="50"/>
    </row>
    <row r="53" spans="1:5" ht="32.25" customHeight="1">
      <c r="A53" s="39" t="s">
        <v>24</v>
      </c>
      <c r="B53" s="49">
        <f>+B39/D39</f>
        <v>0.35251798561151076</v>
      </c>
      <c r="C53" s="49">
        <f>+C39/D39</f>
        <v>0.6474820143884892</v>
      </c>
      <c r="D53" s="49">
        <f>SUM(B53:C53)</f>
        <v>1</v>
      </c>
      <c r="E53" s="50"/>
    </row>
    <row r="54" spans="1:5" ht="16.5">
      <c r="A54" s="39" t="s">
        <v>13</v>
      </c>
      <c r="B54" s="49">
        <f>+B40/D40</f>
        <v>0.48068669527896996</v>
      </c>
      <c r="C54" s="49">
        <f>+C40/D40</f>
        <v>0.51931330472103</v>
      </c>
      <c r="D54" s="49">
        <f>SUM(B54:C54)</f>
        <v>1</v>
      </c>
      <c r="E54" s="50"/>
    </row>
    <row r="55" spans="1:5" ht="16.5">
      <c r="A55" s="39" t="s">
        <v>14</v>
      </c>
      <c r="B55" s="49">
        <f>+B41/D41</f>
        <v>0.26380368098159507</v>
      </c>
      <c r="C55" s="49">
        <f>+C41/D41</f>
        <v>0.7361963190184049</v>
      </c>
      <c r="D55" s="49">
        <f>SUM(B55:C55)</f>
        <v>1</v>
      </c>
      <c r="E55" s="50"/>
    </row>
    <row r="56" spans="1:5" ht="16.5">
      <c r="A56" s="12"/>
      <c r="B56" s="51"/>
      <c r="C56" s="51"/>
      <c r="D56" s="51"/>
      <c r="E56" s="51"/>
    </row>
    <row r="57" spans="1:5" ht="12">
      <c r="A57" s="3"/>
      <c r="B57" s="3"/>
      <c r="C57" s="10"/>
      <c r="D57" s="3"/>
      <c r="E57" s="3"/>
    </row>
    <row r="58" spans="1:22" ht="15" customHeight="1">
      <c r="A58" s="256" t="s">
        <v>0</v>
      </c>
      <c r="B58" s="256"/>
      <c r="C58" s="256"/>
      <c r="D58" s="256"/>
      <c r="E58" s="256"/>
      <c r="F58" s="256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9.5" customHeight="1">
      <c r="A59" s="256" t="s">
        <v>1</v>
      </c>
      <c r="B59" s="256"/>
      <c r="C59" s="256"/>
      <c r="D59" s="256"/>
      <c r="E59" s="256"/>
      <c r="F59" s="256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7" ht="17.25" customHeight="1">
      <c r="A60" s="258" t="s">
        <v>36</v>
      </c>
      <c r="B60" s="258"/>
      <c r="C60" s="258"/>
      <c r="D60" s="258"/>
      <c r="E60" s="258"/>
      <c r="F60" s="258"/>
      <c r="G60" s="9"/>
    </row>
    <row r="61" spans="1:7" s="4" customFormat="1" ht="12">
      <c r="A61" s="3"/>
      <c r="B61" s="31">
        <v>638</v>
      </c>
      <c r="C61" s="10"/>
      <c r="D61" s="52">
        <v>389</v>
      </c>
      <c r="E61" s="3"/>
      <c r="F61" s="3"/>
      <c r="G61" s="3"/>
    </row>
    <row r="62" spans="1:29" ht="12">
      <c r="A62" s="53" t="s">
        <v>4</v>
      </c>
      <c r="B62" s="31" t="s">
        <v>37</v>
      </c>
      <c r="C62" s="31" t="s">
        <v>38</v>
      </c>
      <c r="D62" s="32" t="s">
        <v>39</v>
      </c>
      <c r="E62" s="32" t="s">
        <v>40</v>
      </c>
      <c r="F62" s="15" t="s">
        <v>29</v>
      </c>
      <c r="G62"/>
      <c r="AB62" s="4"/>
      <c r="AC62" s="4"/>
    </row>
    <row r="63" spans="1:29" ht="16.5">
      <c r="A63" s="54" t="s">
        <v>13</v>
      </c>
      <c r="B63" s="36">
        <f>15+30+8</f>
        <v>53</v>
      </c>
      <c r="C63" s="55">
        <f>+B63/F63</f>
        <v>0.7066666666666667</v>
      </c>
      <c r="D63" s="36">
        <f>2+11+9</f>
        <v>22</v>
      </c>
      <c r="E63" s="55">
        <f>+D63/F63</f>
        <v>0.29333333333333333</v>
      </c>
      <c r="F63" s="36">
        <f aca="true" t="shared" si="1" ref="F63:F68">+B63+D63</f>
        <v>75</v>
      </c>
      <c r="G63"/>
      <c r="AB63" s="4"/>
      <c r="AC63" s="4"/>
    </row>
    <row r="64" spans="1:29" ht="16.5">
      <c r="A64" s="54" t="s">
        <v>14</v>
      </c>
      <c r="B64" s="36">
        <f>50+53</f>
        <v>103</v>
      </c>
      <c r="C64" s="55">
        <f>+B64/F64</f>
        <v>0.7202797202797203</v>
      </c>
      <c r="D64" s="36">
        <f>22+18</f>
        <v>40</v>
      </c>
      <c r="E64" s="55">
        <f>+D64/F64</f>
        <v>0.27972027972027974</v>
      </c>
      <c r="F64" s="36">
        <f t="shared" si="1"/>
        <v>143</v>
      </c>
      <c r="G64"/>
      <c r="AB64" s="4"/>
      <c r="AC64" s="4"/>
    </row>
    <row r="65" spans="1:29" ht="30.75" customHeight="1">
      <c r="A65" s="56" t="s">
        <v>10</v>
      </c>
      <c r="B65" s="36">
        <f>12+15+104</f>
        <v>131</v>
      </c>
      <c r="C65" s="55">
        <f>+B65/F65</f>
        <v>0.5458333333333333</v>
      </c>
      <c r="D65" s="36">
        <v>109</v>
      </c>
      <c r="E65" s="55">
        <f>+D65/F65</f>
        <v>0.45416666666666666</v>
      </c>
      <c r="F65" s="36">
        <f t="shared" si="1"/>
        <v>240</v>
      </c>
      <c r="G65"/>
      <c r="AB65" s="4"/>
      <c r="AC65" s="4"/>
    </row>
    <row r="66" spans="1:29" ht="16.5">
      <c r="A66" s="54" t="s">
        <v>24</v>
      </c>
      <c r="B66" s="36">
        <f>29+13+9+16</f>
        <v>67</v>
      </c>
      <c r="C66" s="55">
        <f>+B66/F66</f>
        <v>0.6090909090909091</v>
      </c>
      <c r="D66" s="36">
        <f>11+14+3+15</f>
        <v>43</v>
      </c>
      <c r="E66" s="55">
        <f>+D66/F66</f>
        <v>0.39090909090909093</v>
      </c>
      <c r="F66" s="36">
        <f t="shared" si="1"/>
        <v>110</v>
      </c>
      <c r="G66"/>
      <c r="H66" s="57"/>
      <c r="AB66" s="4"/>
      <c r="AC66" s="4"/>
    </row>
    <row r="67" spans="1:29" ht="17.25" customHeight="1">
      <c r="A67" s="56" t="s">
        <v>11</v>
      </c>
      <c r="B67" s="36">
        <f>19+6+21</f>
        <v>46</v>
      </c>
      <c r="C67" s="55">
        <f>+B67/F67</f>
        <v>0.5974025974025974</v>
      </c>
      <c r="D67" s="36">
        <f>6+8+17</f>
        <v>31</v>
      </c>
      <c r="E67" s="55">
        <f>+D67/F67</f>
        <v>0.4025974025974026</v>
      </c>
      <c r="F67" s="36">
        <f t="shared" si="1"/>
        <v>77</v>
      </c>
      <c r="G67"/>
      <c r="AB67" s="4"/>
      <c r="AC67" s="4"/>
    </row>
    <row r="68" spans="1:29" ht="16.5" hidden="1">
      <c r="A68" s="54" t="s">
        <v>15</v>
      </c>
      <c r="B68" s="36">
        <v>0</v>
      </c>
      <c r="C68" s="55">
        <v>0</v>
      </c>
      <c r="D68" s="36"/>
      <c r="E68" s="55">
        <v>0</v>
      </c>
      <c r="F68" s="36">
        <f t="shared" si="1"/>
        <v>0</v>
      </c>
      <c r="G68"/>
      <c r="AB68" s="4"/>
      <c r="AC68" s="4"/>
    </row>
    <row r="69" spans="1:29" ht="16.5">
      <c r="A69" s="53" t="s">
        <v>16</v>
      </c>
      <c r="B69" s="37">
        <f>SUM(B63:B68)</f>
        <v>400</v>
      </c>
      <c r="C69" s="51">
        <f>+B69/F69</f>
        <v>0.6201550387596899</v>
      </c>
      <c r="D69" s="37">
        <f>SUM(D63:D68)</f>
        <v>245</v>
      </c>
      <c r="E69" s="51">
        <f>+D69/F69</f>
        <v>0.3798449612403101</v>
      </c>
      <c r="F69" s="37">
        <f>SUM(F63:F68)</f>
        <v>645</v>
      </c>
      <c r="G69"/>
      <c r="AB69" s="4"/>
      <c r="AC69" s="4"/>
    </row>
    <row r="70" spans="1:5" ht="12">
      <c r="A70" s="3"/>
      <c r="B70" s="3"/>
      <c r="C70" s="10"/>
      <c r="D70" s="3"/>
      <c r="E70" s="3"/>
    </row>
    <row r="71" spans="1:5" ht="12">
      <c r="A71" s="3"/>
      <c r="B71" s="58"/>
      <c r="C71" s="10"/>
      <c r="D71" s="3"/>
      <c r="E71" s="3"/>
    </row>
    <row r="72" spans="1:5" ht="12">
      <c r="A72" s="3"/>
      <c r="B72" s="3"/>
      <c r="C72" s="10"/>
      <c r="D72" s="3"/>
      <c r="E72" s="3"/>
    </row>
    <row r="73" spans="1:5" ht="12">
      <c r="A73" s="3"/>
      <c r="B73" s="3"/>
      <c r="C73" s="10"/>
      <c r="D73" s="3"/>
      <c r="E73" s="3"/>
    </row>
    <row r="74" spans="1:5" ht="12">
      <c r="A74" s="3"/>
      <c r="B74" s="3"/>
      <c r="C74" s="10"/>
      <c r="D74" s="3"/>
      <c r="E74" s="3"/>
    </row>
    <row r="75" spans="1:5" ht="12">
      <c r="A75" s="3"/>
      <c r="B75" s="3"/>
      <c r="C75" s="10"/>
      <c r="D75" s="3"/>
      <c r="E75" s="3"/>
    </row>
    <row r="76" spans="1:5" ht="12">
      <c r="A76" s="3"/>
      <c r="B76" s="3"/>
      <c r="C76" s="10"/>
      <c r="D76" s="3"/>
      <c r="E76" s="3"/>
    </row>
    <row r="77" spans="1:5" ht="12">
      <c r="A77" s="3"/>
      <c r="B77" s="3"/>
      <c r="C77" s="10"/>
      <c r="D77" s="3"/>
      <c r="E77" s="3"/>
    </row>
    <row r="78" spans="1:5" ht="21" customHeight="1">
      <c r="A78" s="3"/>
      <c r="B78" s="3"/>
      <c r="C78" s="10"/>
      <c r="D78" s="3"/>
      <c r="E78" s="3"/>
    </row>
    <row r="79" spans="1:5" ht="21" customHeight="1">
      <c r="A79" s="3"/>
      <c r="B79" s="3"/>
      <c r="C79" s="10"/>
      <c r="D79" s="3"/>
      <c r="E79" s="3"/>
    </row>
    <row r="80" spans="1:5" ht="18.75" customHeight="1">
      <c r="A80" s="3"/>
      <c r="B80" s="3"/>
      <c r="C80" s="10"/>
      <c r="D80" s="3"/>
      <c r="E80" s="3"/>
    </row>
    <row r="81" spans="1:5" ht="12">
      <c r="A81" s="3"/>
      <c r="B81" s="3"/>
      <c r="C81" s="10"/>
      <c r="D81" s="3"/>
      <c r="E81" s="3"/>
    </row>
    <row r="82" spans="1:5" ht="12">
      <c r="A82" s="3"/>
      <c r="B82" s="3"/>
      <c r="C82" s="10"/>
      <c r="D82" s="3"/>
      <c r="E82" s="3"/>
    </row>
    <row r="83" spans="1:5" ht="12">
      <c r="A83" s="3"/>
      <c r="B83" s="3"/>
      <c r="C83" s="10"/>
      <c r="D83" s="3"/>
      <c r="E83" s="3"/>
    </row>
    <row r="84" spans="1:5" ht="12">
      <c r="A84" s="3"/>
      <c r="B84" s="3"/>
      <c r="C84" s="10"/>
      <c r="D84" s="3"/>
      <c r="E84" s="3"/>
    </row>
    <row r="85" spans="1:5" ht="12">
      <c r="A85" s="3"/>
      <c r="B85" s="3"/>
      <c r="C85" s="10"/>
      <c r="D85" s="3"/>
      <c r="E85" s="3"/>
    </row>
    <row r="86" spans="1:5" ht="12">
      <c r="A86" s="3"/>
      <c r="B86" s="3"/>
      <c r="C86" s="10"/>
      <c r="D86" s="3"/>
      <c r="E86" s="3"/>
    </row>
    <row r="87" spans="1:5" ht="12">
      <c r="A87" s="3"/>
      <c r="B87" s="3"/>
      <c r="C87" s="10"/>
      <c r="D87" s="3"/>
      <c r="E87" s="3"/>
    </row>
    <row r="88" spans="1:5" ht="12">
      <c r="A88" s="3"/>
      <c r="B88" s="3"/>
      <c r="C88" s="10"/>
      <c r="D88" s="3"/>
      <c r="E88" s="3"/>
    </row>
    <row r="89" spans="1:5" ht="12">
      <c r="A89" s="3"/>
      <c r="B89" s="3"/>
      <c r="C89" s="10"/>
      <c r="D89" s="3"/>
      <c r="E89" s="3"/>
    </row>
    <row r="90" spans="1:5" ht="12">
      <c r="A90" s="3"/>
      <c r="B90" s="3"/>
      <c r="C90" s="10"/>
      <c r="D90" s="3"/>
      <c r="E90" s="3"/>
    </row>
    <row r="91" spans="1:9" ht="12">
      <c r="A91" s="3"/>
      <c r="B91" s="3"/>
      <c r="C91" s="10"/>
      <c r="D91" s="3"/>
      <c r="E91" s="3"/>
      <c r="I91" s="4" t="s">
        <v>41</v>
      </c>
    </row>
    <row r="92" spans="1:5" ht="12">
      <c r="A92" s="3"/>
      <c r="B92" s="3"/>
      <c r="C92" s="10"/>
      <c r="D92" s="3"/>
      <c r="E92" s="3"/>
    </row>
    <row r="93" spans="1:5" ht="12">
      <c r="A93" s="3"/>
      <c r="B93" s="3"/>
      <c r="C93" s="10"/>
      <c r="D93" s="3"/>
      <c r="E93" s="3"/>
    </row>
    <row r="94" spans="1:5" ht="12">
      <c r="A94" s="3"/>
      <c r="B94" s="3"/>
      <c r="C94" s="10"/>
      <c r="D94" s="3"/>
      <c r="E94" s="3"/>
    </row>
    <row r="95" spans="1:5" ht="12">
      <c r="A95" s="3"/>
      <c r="B95" s="3"/>
      <c r="C95" s="10"/>
      <c r="D95" s="3"/>
      <c r="E95" s="3"/>
    </row>
    <row r="96" spans="1:5" ht="12">
      <c r="A96" s="3"/>
      <c r="B96" s="3"/>
      <c r="C96" s="10"/>
      <c r="D96" s="3"/>
      <c r="E96" s="3"/>
    </row>
    <row r="97" spans="1:5" ht="12">
      <c r="A97" s="3"/>
      <c r="B97" s="3"/>
      <c r="C97" s="10"/>
      <c r="D97" s="3"/>
      <c r="E97" s="3"/>
    </row>
    <row r="98" spans="1:5" ht="12">
      <c r="A98" s="3"/>
      <c r="B98" s="3"/>
      <c r="C98" s="10"/>
      <c r="D98" s="3"/>
      <c r="E98" s="3"/>
    </row>
    <row r="99" spans="1:5" ht="12">
      <c r="A99" s="3"/>
      <c r="B99" s="3"/>
      <c r="C99" s="10"/>
      <c r="D99" s="3"/>
      <c r="E99" s="3"/>
    </row>
    <row r="100" spans="1:5" ht="12">
      <c r="A100" s="3"/>
      <c r="B100" s="3"/>
      <c r="C100" s="10"/>
      <c r="D100" s="3"/>
      <c r="E100" s="3"/>
    </row>
    <row r="101" spans="1:5" ht="12">
      <c r="A101" s="3"/>
      <c r="B101" s="3"/>
      <c r="C101" s="10"/>
      <c r="D101" s="3"/>
      <c r="E101" s="3"/>
    </row>
    <row r="102" spans="1:5" ht="12">
      <c r="A102" s="3"/>
      <c r="B102" s="3"/>
      <c r="C102" s="10"/>
      <c r="D102" s="3"/>
      <c r="E102" s="3"/>
    </row>
    <row r="103" spans="1:5" ht="12">
      <c r="A103" s="3"/>
      <c r="B103" s="3"/>
      <c r="C103" s="10"/>
      <c r="D103" s="3"/>
      <c r="E103" s="3"/>
    </row>
    <row r="104" spans="1:5" ht="12">
      <c r="A104" s="3"/>
      <c r="B104" s="3"/>
      <c r="C104" s="10"/>
      <c r="D104" s="3"/>
      <c r="E104" s="3"/>
    </row>
    <row r="105" spans="1:5" ht="12">
      <c r="A105" s="3"/>
      <c r="B105" s="3"/>
      <c r="C105" s="10"/>
      <c r="D105" s="3"/>
      <c r="E105" s="3"/>
    </row>
    <row r="106" spans="1:5" ht="12">
      <c r="A106" s="3"/>
      <c r="B106" s="3"/>
      <c r="C106" s="10"/>
      <c r="D106" s="3"/>
      <c r="E106" s="3"/>
    </row>
    <row r="107" spans="1:5" ht="12">
      <c r="A107" s="3"/>
      <c r="B107" s="3"/>
      <c r="C107" s="10"/>
      <c r="D107" s="3"/>
      <c r="E107" s="3"/>
    </row>
    <row r="108" spans="1:5" ht="12">
      <c r="A108" s="3"/>
      <c r="B108" s="3"/>
      <c r="C108" s="10"/>
      <c r="D108" s="3"/>
      <c r="E108" s="3"/>
    </row>
    <row r="109" spans="1:5" ht="12">
      <c r="A109" s="3"/>
      <c r="B109" s="3"/>
      <c r="C109" s="10"/>
      <c r="D109" s="3"/>
      <c r="E109" s="3"/>
    </row>
    <row r="110" spans="1:5" ht="12">
      <c r="A110" s="3"/>
      <c r="B110" s="3"/>
      <c r="C110" s="10"/>
      <c r="D110" s="3"/>
      <c r="E110" s="3"/>
    </row>
    <row r="111" spans="1:5" ht="12">
      <c r="A111" s="3"/>
      <c r="B111" s="3"/>
      <c r="C111" s="10"/>
      <c r="D111" s="3"/>
      <c r="E111" s="3"/>
    </row>
    <row r="112" spans="1:5" ht="12">
      <c r="A112" s="3"/>
      <c r="B112" s="3"/>
      <c r="C112" s="10"/>
      <c r="D112" s="3"/>
      <c r="E112" s="3"/>
    </row>
    <row r="113" spans="1:5" ht="12">
      <c r="A113" s="3"/>
      <c r="B113" s="3"/>
      <c r="C113" s="10"/>
      <c r="D113" s="3"/>
      <c r="E113" s="3"/>
    </row>
    <row r="114" spans="1:5" ht="12">
      <c r="A114" s="3"/>
      <c r="B114" s="3"/>
      <c r="C114" s="10"/>
      <c r="D114" s="3"/>
      <c r="E114" s="3"/>
    </row>
    <row r="115" spans="1:5" ht="12">
      <c r="A115" s="3"/>
      <c r="B115" s="3"/>
      <c r="C115" s="10"/>
      <c r="D115" s="3"/>
      <c r="E115" s="3"/>
    </row>
    <row r="116" spans="1:5" ht="12">
      <c r="A116" s="3"/>
      <c r="B116" s="3"/>
      <c r="C116" s="10"/>
      <c r="D116" s="3"/>
      <c r="E116" s="3"/>
    </row>
    <row r="117" spans="1:5" ht="12">
      <c r="A117" s="3"/>
      <c r="B117" s="3"/>
      <c r="C117" s="10"/>
      <c r="D117" s="3"/>
      <c r="E117" s="3"/>
    </row>
    <row r="118" spans="1:5" ht="12">
      <c r="A118" s="3"/>
      <c r="B118" s="3"/>
      <c r="C118" s="10"/>
      <c r="D118" s="3"/>
      <c r="E118" s="3"/>
    </row>
    <row r="119" spans="1:5" ht="12">
      <c r="A119" s="3"/>
      <c r="B119" s="3"/>
      <c r="C119" s="10"/>
      <c r="D119" s="3"/>
      <c r="E119" s="3"/>
    </row>
    <row r="120" spans="1:5" ht="12">
      <c r="A120" s="3"/>
      <c r="B120" s="3"/>
      <c r="C120" s="10"/>
      <c r="D120" s="3"/>
      <c r="E120" s="3"/>
    </row>
    <row r="121" spans="1:5" ht="12">
      <c r="A121" s="3"/>
      <c r="B121" s="3"/>
      <c r="C121" s="10"/>
      <c r="D121" s="3"/>
      <c r="E121" s="3"/>
    </row>
    <row r="122" spans="1:5" ht="12">
      <c r="A122" s="3"/>
      <c r="B122" s="3"/>
      <c r="C122" s="10"/>
      <c r="D122" s="3"/>
      <c r="E122" s="3"/>
    </row>
    <row r="123" spans="1:5" ht="12">
      <c r="A123" s="3"/>
      <c r="B123" s="3"/>
      <c r="C123" s="10"/>
      <c r="D123" s="3"/>
      <c r="E123" s="3"/>
    </row>
    <row r="124" spans="1:5" ht="12">
      <c r="A124" s="3"/>
      <c r="B124" s="3"/>
      <c r="C124" s="10"/>
      <c r="D124" s="3"/>
      <c r="E124" s="3"/>
    </row>
    <row r="125" spans="1:5" ht="12">
      <c r="A125" s="3"/>
      <c r="B125" s="3"/>
      <c r="C125" s="10"/>
      <c r="D125" s="3"/>
      <c r="E125" s="3"/>
    </row>
    <row r="126" spans="1:5" ht="12">
      <c r="A126" s="3"/>
      <c r="B126" s="3"/>
      <c r="C126" s="10"/>
      <c r="D126" s="3"/>
      <c r="E126" s="3"/>
    </row>
    <row r="127" spans="1:5" ht="12">
      <c r="A127" s="3"/>
      <c r="B127" s="3"/>
      <c r="C127" s="10"/>
      <c r="D127" s="3"/>
      <c r="E127" s="3"/>
    </row>
    <row r="128" spans="1:5" ht="12">
      <c r="A128" s="3"/>
      <c r="B128" s="3"/>
      <c r="C128" s="10"/>
      <c r="D128" s="3"/>
      <c r="E128" s="3"/>
    </row>
    <row r="129" spans="1:5" ht="12">
      <c r="A129" s="3"/>
      <c r="B129" s="3"/>
      <c r="C129" s="10"/>
      <c r="D129" s="3"/>
      <c r="E129" s="3"/>
    </row>
    <row r="130" spans="1:5" ht="12">
      <c r="A130" s="3"/>
      <c r="B130" s="3"/>
      <c r="C130" s="10"/>
      <c r="D130" s="3"/>
      <c r="E130" s="3"/>
    </row>
    <row r="131" spans="1:5" ht="12">
      <c r="A131" s="3"/>
      <c r="B131" s="3"/>
      <c r="C131" s="10"/>
      <c r="D131" s="3"/>
      <c r="E131" s="3"/>
    </row>
    <row r="132" spans="1:5" ht="12">
      <c r="A132" s="3"/>
      <c r="B132" s="3"/>
      <c r="C132" s="10"/>
      <c r="D132" s="3"/>
      <c r="E132" s="3"/>
    </row>
    <row r="133" spans="1:5" ht="12">
      <c r="A133" s="3"/>
      <c r="B133" s="3"/>
      <c r="C133" s="10"/>
      <c r="D133" s="3"/>
      <c r="E133" s="3"/>
    </row>
    <row r="134" spans="1:5" ht="12">
      <c r="A134" s="3"/>
      <c r="B134" s="3"/>
      <c r="C134" s="10"/>
      <c r="D134" s="3"/>
      <c r="E134" s="3"/>
    </row>
    <row r="135" spans="1:5" ht="12">
      <c r="A135" s="3"/>
      <c r="B135" s="3"/>
      <c r="C135" s="10"/>
      <c r="D135" s="3"/>
      <c r="E135" s="3"/>
    </row>
    <row r="136" spans="1:5" ht="12">
      <c r="A136" s="3"/>
      <c r="B136" s="3"/>
      <c r="C136" s="10"/>
      <c r="D136" s="3"/>
      <c r="E136" s="3"/>
    </row>
    <row r="137" spans="1:5" ht="12">
      <c r="A137" s="3"/>
      <c r="B137" s="3"/>
      <c r="C137" s="10"/>
      <c r="D137" s="3"/>
      <c r="E137" s="3"/>
    </row>
    <row r="138" spans="1:5" ht="12">
      <c r="A138" s="3"/>
      <c r="B138" s="3"/>
      <c r="C138" s="10"/>
      <c r="D138" s="3"/>
      <c r="E138" s="3"/>
    </row>
    <row r="139" spans="1:5" ht="12">
      <c r="A139" s="3"/>
      <c r="B139" s="3"/>
      <c r="C139" s="10"/>
      <c r="D139" s="3"/>
      <c r="E139" s="3"/>
    </row>
    <row r="140" spans="1:5" ht="12">
      <c r="A140" s="3"/>
      <c r="B140" s="3"/>
      <c r="C140" s="10"/>
      <c r="D140" s="3"/>
      <c r="E140" s="3"/>
    </row>
    <row r="141" spans="1:5" ht="12">
      <c r="A141" s="3"/>
      <c r="B141" s="3"/>
      <c r="C141" s="10"/>
      <c r="D141" s="3"/>
      <c r="E141" s="3"/>
    </row>
    <row r="142" spans="1:5" ht="12">
      <c r="A142" s="3"/>
      <c r="B142" s="3"/>
      <c r="C142" s="10"/>
      <c r="D142" s="3"/>
      <c r="E142" s="3"/>
    </row>
    <row r="143" spans="1:5" ht="12">
      <c r="A143" s="3"/>
      <c r="B143" s="3"/>
      <c r="C143" s="10"/>
      <c r="D143" s="3"/>
      <c r="E143" s="3"/>
    </row>
    <row r="144" spans="1:5" ht="12">
      <c r="A144" s="3"/>
      <c r="B144" s="3"/>
      <c r="C144" s="10"/>
      <c r="D144" s="3"/>
      <c r="E144" s="3"/>
    </row>
    <row r="145" spans="1:5" ht="12">
      <c r="A145" s="3"/>
      <c r="B145" s="3"/>
      <c r="C145" s="10"/>
      <c r="D145" s="3"/>
      <c r="E145" s="3"/>
    </row>
    <row r="146" spans="1:5" ht="12">
      <c r="A146" s="3"/>
      <c r="B146" s="3"/>
      <c r="C146" s="10"/>
      <c r="D146" s="3"/>
      <c r="E146" s="3"/>
    </row>
    <row r="147" spans="1:5" ht="12">
      <c r="A147" s="3"/>
      <c r="B147" s="3"/>
      <c r="C147" s="10"/>
      <c r="D147" s="3"/>
      <c r="E147" s="3"/>
    </row>
    <row r="148" spans="1:5" ht="12">
      <c r="A148" s="3"/>
      <c r="B148" s="3"/>
      <c r="C148" s="10"/>
      <c r="D148" s="3"/>
      <c r="E148" s="3"/>
    </row>
    <row r="149" spans="1:5" ht="12">
      <c r="A149" s="3"/>
      <c r="B149" s="3"/>
      <c r="C149" s="10"/>
      <c r="D149" s="3"/>
      <c r="E149" s="3"/>
    </row>
    <row r="150" spans="1:5" ht="12">
      <c r="A150" s="3"/>
      <c r="B150" s="3"/>
      <c r="C150" s="10"/>
      <c r="D150" s="3"/>
      <c r="E150" s="3"/>
    </row>
    <row r="151" spans="1:5" ht="12">
      <c r="A151" s="3"/>
      <c r="B151" s="3"/>
      <c r="C151" s="10"/>
      <c r="D151" s="3"/>
      <c r="E151" s="3"/>
    </row>
    <row r="152" spans="1:5" ht="12">
      <c r="A152" s="3"/>
      <c r="B152" s="3"/>
      <c r="C152" s="10"/>
      <c r="D152" s="3"/>
      <c r="E152" s="3"/>
    </row>
    <row r="153" spans="1:5" ht="12">
      <c r="A153" s="3"/>
      <c r="B153" s="3"/>
      <c r="C153" s="10"/>
      <c r="D153" s="3"/>
      <c r="E153" s="3"/>
    </row>
    <row r="154" spans="1:5" ht="12">
      <c r="A154" s="3"/>
      <c r="B154" s="3"/>
      <c r="C154" s="10"/>
      <c r="D154" s="3"/>
      <c r="E154" s="3"/>
    </row>
    <row r="155" spans="1:5" ht="12">
      <c r="A155" s="3"/>
      <c r="B155" s="3"/>
      <c r="C155" s="10"/>
      <c r="D155" s="3"/>
      <c r="E155" s="3"/>
    </row>
    <row r="156" spans="1:5" ht="12">
      <c r="A156" s="3"/>
      <c r="B156" s="3"/>
      <c r="C156" s="10"/>
      <c r="D156" s="3"/>
      <c r="E156" s="3"/>
    </row>
    <row r="157" spans="1:5" ht="12">
      <c r="A157" s="3"/>
      <c r="B157" s="3"/>
      <c r="C157" s="10"/>
      <c r="D157" s="3"/>
      <c r="E157" s="3"/>
    </row>
    <row r="158" spans="1:5" ht="12">
      <c r="A158" s="3"/>
      <c r="B158" s="3"/>
      <c r="C158" s="10"/>
      <c r="D158" s="3"/>
      <c r="E158" s="3"/>
    </row>
    <row r="159" spans="1:5" ht="12">
      <c r="A159" s="3"/>
      <c r="B159" s="3"/>
      <c r="C159" s="10"/>
      <c r="D159" s="3"/>
      <c r="E159" s="3"/>
    </row>
    <row r="160" spans="1:5" ht="12">
      <c r="A160" s="3"/>
      <c r="B160" s="3"/>
      <c r="C160" s="10"/>
      <c r="D160" s="3"/>
      <c r="E160" s="3"/>
    </row>
    <row r="161" spans="1:5" ht="12">
      <c r="A161" s="3"/>
      <c r="B161" s="3"/>
      <c r="C161" s="10"/>
      <c r="D161" s="3"/>
      <c r="E161" s="3"/>
    </row>
    <row r="162" spans="1:5" ht="12">
      <c r="A162" s="3"/>
      <c r="B162" s="3"/>
      <c r="C162" s="10"/>
      <c r="D162" s="3"/>
      <c r="E162" s="3"/>
    </row>
    <row r="163" spans="1:5" ht="12">
      <c r="A163" s="3"/>
      <c r="B163" s="3"/>
      <c r="C163" s="10"/>
      <c r="D163" s="3"/>
      <c r="E163" s="3"/>
    </row>
    <row r="164" spans="1:5" ht="12">
      <c r="A164" s="3"/>
      <c r="B164" s="3"/>
      <c r="C164" s="10"/>
      <c r="D164" s="3"/>
      <c r="E164" s="3"/>
    </row>
    <row r="165" spans="1:5" ht="12">
      <c r="A165" s="3"/>
      <c r="B165" s="3"/>
      <c r="C165" s="10"/>
      <c r="D165" s="3"/>
      <c r="E165" s="3"/>
    </row>
    <row r="166" spans="1:5" ht="12">
      <c r="A166" s="3"/>
      <c r="B166" s="3"/>
      <c r="C166" s="10"/>
      <c r="D166" s="3"/>
      <c r="E166" s="3"/>
    </row>
    <row r="167" spans="1:5" ht="12">
      <c r="A167" s="3"/>
      <c r="B167" s="3"/>
      <c r="C167" s="10"/>
      <c r="D167" s="3"/>
      <c r="E167" s="3"/>
    </row>
    <row r="168" spans="1:5" ht="12">
      <c r="A168" s="3"/>
      <c r="B168" s="3"/>
      <c r="C168" s="10"/>
      <c r="D168" s="3"/>
      <c r="E168" s="3"/>
    </row>
    <row r="169" spans="1:5" ht="12">
      <c r="A169" s="3"/>
      <c r="B169" s="3"/>
      <c r="C169" s="10"/>
      <c r="D169" s="3"/>
      <c r="E169" s="3"/>
    </row>
    <row r="170" spans="1:5" ht="12">
      <c r="A170" s="3"/>
      <c r="B170" s="3"/>
      <c r="C170" s="10"/>
      <c r="D170" s="3"/>
      <c r="E170" s="3"/>
    </row>
    <row r="171" spans="1:5" ht="12">
      <c r="A171" s="3"/>
      <c r="B171" s="3"/>
      <c r="C171" s="10"/>
      <c r="D171" s="3"/>
      <c r="E171" s="3"/>
    </row>
    <row r="172" spans="1:5" ht="12">
      <c r="A172" s="3"/>
      <c r="B172" s="3"/>
      <c r="C172" s="10"/>
      <c r="D172" s="3"/>
      <c r="E172" s="3"/>
    </row>
    <row r="173" spans="1:5" ht="12">
      <c r="A173" s="3"/>
      <c r="B173" s="3"/>
      <c r="C173" s="10"/>
      <c r="D173" s="3"/>
      <c r="E173" s="3"/>
    </row>
    <row r="174" spans="1:5" ht="12">
      <c r="A174" s="3"/>
      <c r="B174" s="3"/>
      <c r="C174" s="10"/>
      <c r="D174" s="3"/>
      <c r="E174" s="3"/>
    </row>
    <row r="175" spans="1:5" ht="12">
      <c r="A175" s="3"/>
      <c r="B175" s="3"/>
      <c r="C175" s="10"/>
      <c r="D175" s="3"/>
      <c r="E175" s="3"/>
    </row>
    <row r="176" spans="1:5" ht="12">
      <c r="A176" s="3"/>
      <c r="B176" s="3"/>
      <c r="C176" s="10"/>
      <c r="D176" s="3"/>
      <c r="E176" s="3"/>
    </row>
    <row r="177" spans="1:5" ht="12">
      <c r="A177" s="3"/>
      <c r="B177" s="3"/>
      <c r="C177" s="10"/>
      <c r="D177" s="3"/>
      <c r="E177" s="3"/>
    </row>
    <row r="178" spans="1:5" ht="12">
      <c r="A178" s="3"/>
      <c r="B178" s="3"/>
      <c r="C178" s="10"/>
      <c r="D178" s="3"/>
      <c r="E178" s="3"/>
    </row>
    <row r="179" spans="1:5" ht="12">
      <c r="A179" s="3"/>
      <c r="B179" s="3"/>
      <c r="C179" s="10"/>
      <c r="D179" s="3"/>
      <c r="E179" s="3"/>
    </row>
    <row r="180" spans="1:5" ht="12">
      <c r="A180" s="3"/>
      <c r="B180" s="3"/>
      <c r="C180" s="10"/>
      <c r="D180" s="3"/>
      <c r="E180" s="3"/>
    </row>
    <row r="181" spans="1:5" ht="12">
      <c r="A181" s="3"/>
      <c r="B181" s="3"/>
      <c r="C181" s="10"/>
      <c r="D181" s="3"/>
      <c r="E181" s="3"/>
    </row>
    <row r="182" spans="1:5" ht="12">
      <c r="A182" s="3"/>
      <c r="B182" s="3"/>
      <c r="C182" s="10"/>
      <c r="D182" s="3"/>
      <c r="E182" s="3"/>
    </row>
    <row r="183" spans="1:5" ht="12">
      <c r="A183" s="3"/>
      <c r="B183" s="3"/>
      <c r="C183" s="10"/>
      <c r="D183" s="3"/>
      <c r="E183" s="3"/>
    </row>
    <row r="184" spans="1:5" ht="12">
      <c r="A184" s="3"/>
      <c r="B184" s="3"/>
      <c r="C184" s="10"/>
      <c r="D184" s="3"/>
      <c r="E184" s="3"/>
    </row>
    <row r="185" spans="1:5" ht="12">
      <c r="A185" s="3"/>
      <c r="B185" s="3"/>
      <c r="C185" s="10"/>
      <c r="D185" s="3"/>
      <c r="E185" s="3"/>
    </row>
    <row r="186" spans="1:5" ht="12">
      <c r="A186" s="3"/>
      <c r="B186" s="3"/>
      <c r="C186" s="10"/>
      <c r="D186" s="3"/>
      <c r="E186" s="3"/>
    </row>
    <row r="187" spans="1:5" ht="12">
      <c r="A187" s="3"/>
      <c r="B187" s="3"/>
      <c r="C187" s="10"/>
      <c r="D187" s="3"/>
      <c r="E187" s="3"/>
    </row>
    <row r="188" spans="1:5" ht="12">
      <c r="A188" s="3"/>
      <c r="B188" s="3"/>
      <c r="C188" s="10"/>
      <c r="D188" s="3"/>
      <c r="E188" s="3"/>
    </row>
    <row r="189" spans="1:5" ht="12">
      <c r="A189" s="3"/>
      <c r="B189" s="3"/>
      <c r="C189" s="10"/>
      <c r="D189" s="3"/>
      <c r="E189" s="3"/>
    </row>
    <row r="190" spans="1:5" ht="12">
      <c r="A190" s="3"/>
      <c r="B190" s="3"/>
      <c r="C190" s="10"/>
      <c r="D190" s="3"/>
      <c r="E190" s="3"/>
    </row>
    <row r="191" spans="1:5" ht="12">
      <c r="A191" s="3"/>
      <c r="B191" s="3"/>
      <c r="C191" s="10"/>
      <c r="D191" s="3"/>
      <c r="E191" s="3"/>
    </row>
    <row r="192" spans="1:5" ht="12">
      <c r="A192" s="3"/>
      <c r="B192" s="3"/>
      <c r="C192" s="10"/>
      <c r="D192" s="3"/>
      <c r="E192" s="3"/>
    </row>
    <row r="193" spans="1:5" ht="12">
      <c r="A193" s="3"/>
      <c r="B193" s="3"/>
      <c r="C193" s="10"/>
      <c r="D193" s="3"/>
      <c r="E193" s="3"/>
    </row>
    <row r="194" spans="1:5" ht="12">
      <c r="A194" s="3"/>
      <c r="B194" s="3"/>
      <c r="C194" s="10"/>
      <c r="D194" s="3"/>
      <c r="E194" s="3"/>
    </row>
    <row r="195" spans="1:5" ht="12">
      <c r="A195" s="3"/>
      <c r="B195" s="3"/>
      <c r="C195" s="10"/>
      <c r="D195" s="3"/>
      <c r="E195" s="3"/>
    </row>
    <row r="196" spans="1:5" ht="12">
      <c r="A196" s="3"/>
      <c r="B196" s="3"/>
      <c r="C196" s="10"/>
      <c r="D196" s="3"/>
      <c r="E196" s="3"/>
    </row>
    <row r="197" spans="1:5" ht="12">
      <c r="A197" s="3"/>
      <c r="B197" s="3"/>
      <c r="C197" s="10"/>
      <c r="D197" s="3"/>
      <c r="E197" s="3"/>
    </row>
  </sheetData>
  <sheetProtection selectLockedCells="1" selectUnlockedCells="1"/>
  <mergeCells count="17">
    <mergeCell ref="A48:D48"/>
    <mergeCell ref="A49:D49"/>
    <mergeCell ref="A58:F58"/>
    <mergeCell ref="A59:F59"/>
    <mergeCell ref="A60:F60"/>
    <mergeCell ref="A19:F19"/>
    <mergeCell ref="A20:F20"/>
    <mergeCell ref="A33:D33"/>
    <mergeCell ref="A34:D34"/>
    <mergeCell ref="A35:D35"/>
    <mergeCell ref="A47:D47"/>
    <mergeCell ref="A1:F1"/>
    <mergeCell ref="A2:F2"/>
    <mergeCell ref="A3:F3"/>
    <mergeCell ref="C5:D5"/>
    <mergeCell ref="A15:F15"/>
    <mergeCell ref="A18:F18"/>
  </mergeCells>
  <printOptions/>
  <pageMargins left="0.7" right="0.7" top="1.25" bottom="0.75" header="0.5118055555555555" footer="0.5118055555555555"/>
  <pageSetup horizontalDpi="300" verticalDpi="300" orientation="landscape" scale="46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C199"/>
  <sheetViews>
    <sheetView zoomScale="65" zoomScaleNormal="65" zoomScaleSheetLayoutView="65" workbookViewId="0" topLeftCell="A1">
      <selection activeCell="B11" activeCellId="1" sqref="N57:N58 B11"/>
    </sheetView>
  </sheetViews>
  <sheetFormatPr defaultColWidth="9.140625" defaultRowHeight="12.75"/>
  <cols>
    <col min="1" max="1" width="30.7109375" style="1" customWidth="1"/>
    <col min="2" max="2" width="14.00390625" style="1" customWidth="1"/>
    <col min="3" max="3" width="14.00390625" style="2" customWidth="1"/>
    <col min="4" max="5" width="14.00390625" style="1" customWidth="1"/>
    <col min="6" max="6" width="13.421875" style="3" customWidth="1"/>
    <col min="7" max="7" width="12.421875" style="3" customWidth="1"/>
    <col min="8" max="27" width="9.140625" style="4" customWidth="1"/>
  </cols>
  <sheetData>
    <row r="1" spans="1:22" ht="12.75" customHeight="1">
      <c r="A1" s="256" t="s">
        <v>0</v>
      </c>
      <c r="B1" s="256"/>
      <c r="C1" s="256"/>
      <c r="D1" s="256"/>
      <c r="E1" s="256"/>
      <c r="F1" s="25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257" t="s">
        <v>42</v>
      </c>
      <c r="B2" s="257"/>
      <c r="C2" s="257"/>
      <c r="D2" s="257"/>
      <c r="E2" s="257"/>
      <c r="F2" s="2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6" ht="12.75" customHeight="1">
      <c r="A3" s="258" t="s">
        <v>2</v>
      </c>
      <c r="B3" s="258"/>
      <c r="C3" s="258"/>
      <c r="D3" s="258"/>
      <c r="E3" s="258"/>
      <c r="F3" s="258"/>
    </row>
    <row r="4" spans="1:5" ht="12">
      <c r="A4" s="3"/>
      <c r="B4" s="3"/>
      <c r="C4" s="10"/>
      <c r="D4" s="3"/>
      <c r="E4" s="3"/>
    </row>
    <row r="5" spans="1:5" ht="13.5" customHeight="1">
      <c r="A5" s="3"/>
      <c r="B5" s="3"/>
      <c r="C5" s="259" t="s">
        <v>3</v>
      </c>
      <c r="D5" s="259"/>
      <c r="E5" s="11"/>
    </row>
    <row r="6" spans="1:6" ht="12">
      <c r="A6" s="12" t="s">
        <v>4</v>
      </c>
      <c r="B6" s="13" t="s">
        <v>5</v>
      </c>
      <c r="C6" s="14" t="s">
        <v>6</v>
      </c>
      <c r="D6" s="12" t="s">
        <v>7</v>
      </c>
      <c r="E6" s="12" t="s">
        <v>8</v>
      </c>
      <c r="F6" s="15" t="s">
        <v>9</v>
      </c>
    </row>
    <row r="7" spans="1:6" ht="22.5" customHeight="1">
      <c r="A7" s="16" t="s">
        <v>10</v>
      </c>
      <c r="B7" s="17">
        <v>85</v>
      </c>
      <c r="C7" s="17">
        <v>51</v>
      </c>
      <c r="D7" s="17">
        <v>21</v>
      </c>
      <c r="E7" s="17">
        <v>13</v>
      </c>
      <c r="F7" s="18">
        <f>(D7+E7)/B7</f>
        <v>0.4</v>
      </c>
    </row>
    <row r="8" spans="1:16" ht="22.5" customHeight="1">
      <c r="A8" s="16" t="s">
        <v>11</v>
      </c>
      <c r="B8" s="17">
        <v>233</v>
      </c>
      <c r="C8" s="17">
        <v>122</v>
      </c>
      <c r="D8" s="17">
        <v>100</v>
      </c>
      <c r="E8" s="17">
        <v>11</v>
      </c>
      <c r="F8" s="18">
        <f>(D8+E8)/B8</f>
        <v>0.47639484978540775</v>
      </c>
      <c r="P8" s="4">
        <f>+C8/C13</f>
        <v>0.24015748031496062</v>
      </c>
    </row>
    <row r="9" spans="1:6" ht="22.5" customHeight="1">
      <c r="A9" s="19" t="s">
        <v>12</v>
      </c>
      <c r="B9" s="17">
        <v>318</v>
      </c>
      <c r="C9" s="17">
        <v>215</v>
      </c>
      <c r="D9" s="17">
        <v>82</v>
      </c>
      <c r="E9" s="17">
        <v>21</v>
      </c>
      <c r="F9" s="18">
        <f>(D9+E9)/B9</f>
        <v>0.3238993710691824</v>
      </c>
    </row>
    <row r="10" spans="1:6" ht="22.5" customHeight="1">
      <c r="A10" s="16" t="s">
        <v>13</v>
      </c>
      <c r="B10" s="17">
        <v>123</v>
      </c>
      <c r="C10" s="17">
        <v>77</v>
      </c>
      <c r="D10" s="17">
        <v>46</v>
      </c>
      <c r="E10" s="17">
        <v>0</v>
      </c>
      <c r="F10" s="18">
        <f>(D10+E10)/B10</f>
        <v>0.37398373983739835</v>
      </c>
    </row>
    <row r="11" spans="1:6" ht="22.5" customHeight="1">
      <c r="A11" s="19" t="s">
        <v>14</v>
      </c>
      <c r="B11" s="17">
        <v>63</v>
      </c>
      <c r="C11" s="17">
        <v>43</v>
      </c>
      <c r="D11" s="17">
        <v>20</v>
      </c>
      <c r="E11" s="17">
        <v>0</v>
      </c>
      <c r="F11" s="18">
        <f>(D11+E11)/B11</f>
        <v>0.31746031746031744</v>
      </c>
    </row>
    <row r="12" spans="1:7" ht="17.25" customHeight="1" hidden="1">
      <c r="A12" s="19" t="s">
        <v>15</v>
      </c>
      <c r="B12" s="17"/>
      <c r="C12" s="17"/>
      <c r="D12" s="17"/>
      <c r="E12" s="17"/>
      <c r="F12" s="18">
        <v>0</v>
      </c>
      <c r="G12" s="20"/>
    </row>
    <row r="13" spans="1:6" ht="16.5">
      <c r="A13" s="12" t="s">
        <v>16</v>
      </c>
      <c r="B13" s="21">
        <f>SUM(B7:B12)</f>
        <v>822</v>
      </c>
      <c r="C13" s="21">
        <f>SUM(C7:C12)</f>
        <v>508</v>
      </c>
      <c r="D13" s="21">
        <f>SUM(D7:D12)</f>
        <v>269</v>
      </c>
      <c r="E13" s="21">
        <f>SUM(E7:E12)</f>
        <v>45</v>
      </c>
      <c r="F13" s="22">
        <f>(+D13+E13)/B13</f>
        <v>0.3819951338199513</v>
      </c>
    </row>
    <row r="14" spans="1:6" ht="25.5" customHeight="1">
      <c r="A14" s="23"/>
      <c r="B14" s="23"/>
      <c r="C14" s="24">
        <f>+C13/B13</f>
        <v>0.6180048661800487</v>
      </c>
      <c r="D14" s="24">
        <f>+D13/B13</f>
        <v>0.32725060827250607</v>
      </c>
      <c r="E14" s="24">
        <f>+E13/B13</f>
        <v>0.05474452554744526</v>
      </c>
      <c r="F14" s="25"/>
    </row>
    <row r="15" spans="1:6" ht="25.5" customHeight="1">
      <c r="A15" s="260"/>
      <c r="B15" s="260"/>
      <c r="C15" s="260"/>
      <c r="D15" s="260"/>
      <c r="E15" s="260"/>
      <c r="F15" s="260"/>
    </row>
    <row r="16" spans="1:6" ht="25.5" customHeight="1">
      <c r="A16" s="26"/>
      <c r="B16" s="26"/>
      <c r="C16" s="26"/>
      <c r="D16" s="26"/>
      <c r="E16" s="26"/>
      <c r="F16" s="26"/>
    </row>
    <row r="17" spans="1:6" ht="25.5" customHeight="1">
      <c r="A17" s="26"/>
      <c r="B17" s="26"/>
      <c r="C17" s="26"/>
      <c r="D17" s="26"/>
      <c r="E17" s="26"/>
      <c r="F17" s="26"/>
    </row>
    <row r="18" spans="1:6" ht="25.5" customHeight="1">
      <c r="A18" s="26"/>
      <c r="B18" s="26"/>
      <c r="C18" s="26"/>
      <c r="D18" s="26"/>
      <c r="E18" s="26"/>
      <c r="F18" s="26"/>
    </row>
    <row r="19" spans="1:6" ht="25.5" customHeight="1">
      <c r="A19" s="26"/>
      <c r="B19" s="26"/>
      <c r="C19" s="26"/>
      <c r="D19" s="26"/>
      <c r="E19" s="26"/>
      <c r="F19" s="26"/>
    </row>
    <row r="20" spans="1:22" ht="15.75" customHeight="1">
      <c r="A20" s="256" t="s">
        <v>0</v>
      </c>
      <c r="B20" s="256"/>
      <c r="C20" s="256"/>
      <c r="D20" s="256"/>
      <c r="E20" s="256"/>
      <c r="F20" s="256"/>
      <c r="G20" s="2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256" t="s">
        <v>42</v>
      </c>
      <c r="B21" s="256"/>
      <c r="C21" s="256"/>
      <c r="D21" s="256"/>
      <c r="E21" s="256"/>
      <c r="F21" s="256"/>
      <c r="G21" s="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7" ht="15.75" customHeight="1">
      <c r="A22" s="258" t="s">
        <v>17</v>
      </c>
      <c r="B22" s="258"/>
      <c r="C22" s="258"/>
      <c r="D22" s="258"/>
      <c r="E22" s="258"/>
      <c r="F22" s="258"/>
      <c r="G22" s="28"/>
    </row>
    <row r="23" spans="1:7" s="4" customFormat="1" ht="12">
      <c r="A23" s="3"/>
      <c r="B23" s="3"/>
      <c r="C23" s="10"/>
      <c r="D23" s="3"/>
      <c r="E23" s="3"/>
      <c r="F23" s="3"/>
      <c r="G23" s="3"/>
    </row>
    <row r="24" spans="1:6" s="4" customFormat="1" ht="12">
      <c r="A24" s="12" t="s">
        <v>18</v>
      </c>
      <c r="B24" s="13">
        <v>266</v>
      </c>
      <c r="C24" s="29">
        <v>99</v>
      </c>
      <c r="D24" s="30">
        <v>256</v>
      </c>
      <c r="E24" s="12">
        <v>199</v>
      </c>
      <c r="F24" s="12">
        <v>2</v>
      </c>
    </row>
    <row r="25" spans="1:29" ht="12">
      <c r="A25" s="12" t="s">
        <v>4</v>
      </c>
      <c r="B25" s="31" t="s">
        <v>19</v>
      </c>
      <c r="C25" s="32" t="s">
        <v>20</v>
      </c>
      <c r="D25" s="33" t="s">
        <v>21</v>
      </c>
      <c r="E25" s="15" t="s">
        <v>22</v>
      </c>
      <c r="F25" s="34" t="s">
        <v>43</v>
      </c>
      <c r="AB25" s="4"/>
      <c r="AC25" s="4"/>
    </row>
    <row r="26" spans="1:29" ht="16.5">
      <c r="A26" s="59" t="s">
        <v>10</v>
      </c>
      <c r="B26" s="36">
        <v>25</v>
      </c>
      <c r="C26" s="36">
        <v>7</v>
      </c>
      <c r="D26" s="36">
        <v>18</v>
      </c>
      <c r="E26" s="36">
        <v>1</v>
      </c>
      <c r="F26" s="60">
        <v>0</v>
      </c>
      <c r="AB26" s="4"/>
      <c r="AC26" s="4"/>
    </row>
    <row r="27" spans="1:29" ht="16.5">
      <c r="A27" s="59" t="s">
        <v>11</v>
      </c>
      <c r="B27" s="36">
        <v>17</v>
      </c>
      <c r="C27" s="36">
        <v>2</v>
      </c>
      <c r="D27" s="36">
        <v>13</v>
      </c>
      <c r="E27" s="36">
        <v>90</v>
      </c>
      <c r="F27" s="36">
        <v>0</v>
      </c>
      <c r="AB27" s="4"/>
      <c r="AC27" s="4"/>
    </row>
    <row r="28" spans="1:29" ht="30.75" customHeight="1">
      <c r="A28" s="16" t="s">
        <v>24</v>
      </c>
      <c r="B28" s="36">
        <v>124</v>
      </c>
      <c r="C28" s="36">
        <v>9</v>
      </c>
      <c r="D28" s="36">
        <v>74</v>
      </c>
      <c r="E28" s="36">
        <v>7</v>
      </c>
      <c r="F28" s="36">
        <v>1</v>
      </c>
      <c r="AB28" s="4"/>
      <c r="AC28" s="4"/>
    </row>
    <row r="29" spans="1:29" ht="16.5">
      <c r="A29" s="16" t="s">
        <v>13</v>
      </c>
      <c r="B29" s="36">
        <v>10</v>
      </c>
      <c r="C29" s="36">
        <v>51</v>
      </c>
      <c r="D29" s="36">
        <v>16</v>
      </c>
      <c r="E29" s="36">
        <v>0</v>
      </c>
      <c r="F29" s="36">
        <v>0</v>
      </c>
      <c r="AB29" s="4"/>
      <c r="AC29" s="4"/>
    </row>
    <row r="30" spans="1:29" ht="16.5">
      <c r="A30" s="16" t="s">
        <v>14</v>
      </c>
      <c r="B30" s="36">
        <v>0</v>
      </c>
      <c r="C30" s="36">
        <v>0</v>
      </c>
      <c r="D30" s="36">
        <v>40</v>
      </c>
      <c r="E30" s="36">
        <v>3</v>
      </c>
      <c r="F30" s="36">
        <v>0</v>
      </c>
      <c r="AB30" s="4"/>
      <c r="AC30" s="4"/>
    </row>
    <row r="31" spans="1:29" ht="16.5" hidden="1">
      <c r="A31" s="19" t="s">
        <v>15</v>
      </c>
      <c r="B31" s="36"/>
      <c r="C31" s="36"/>
      <c r="D31" s="36"/>
      <c r="E31" s="36"/>
      <c r="F31" s="36"/>
      <c r="AB31" s="4"/>
      <c r="AC31" s="4"/>
    </row>
    <row r="32" spans="1:29" ht="16.5">
      <c r="A32" s="12" t="s">
        <v>16</v>
      </c>
      <c r="B32" s="37">
        <f>SUM(B26:B31)</f>
        <v>176</v>
      </c>
      <c r="C32" s="37">
        <f>SUM(C26:C31)</f>
        <v>69</v>
      </c>
      <c r="D32" s="37">
        <f>SUM(D26:D31)</f>
        <v>161</v>
      </c>
      <c r="E32" s="37">
        <f>SUM(E26:E31)</f>
        <v>101</v>
      </c>
      <c r="F32" s="37">
        <f>SUM(F26:F31)</f>
        <v>1</v>
      </c>
      <c r="AB32" s="4"/>
      <c r="AC32" s="4"/>
    </row>
    <row r="33" spans="1:29" ht="16.5">
      <c r="A33" s="29" t="s">
        <v>25</v>
      </c>
      <c r="B33" s="38">
        <f>+B32/C13</f>
        <v>0.3464566929133858</v>
      </c>
      <c r="C33" s="38">
        <f>+C32/C13</f>
        <v>0.13582677165354332</v>
      </c>
      <c r="D33" s="38">
        <f>+D32/C13</f>
        <v>0.3169291338582677</v>
      </c>
      <c r="E33" s="38">
        <f>+E32/C13</f>
        <v>0.19881889763779528</v>
      </c>
      <c r="F33" s="38">
        <f>+F32/C13</f>
        <v>0.001968503937007874</v>
      </c>
      <c r="AB33" s="4"/>
      <c r="AC33" s="4"/>
    </row>
    <row r="34" spans="1:7" s="4" customFormat="1" ht="108" customHeight="1">
      <c r="A34" s="39"/>
      <c r="B34" s="40"/>
      <c r="C34" s="41"/>
      <c r="D34" s="42"/>
      <c r="E34" s="42"/>
      <c r="F34" s="3"/>
      <c r="G34" s="3"/>
    </row>
    <row r="35" spans="1:5" ht="21" customHeight="1">
      <c r="A35" s="256" t="s">
        <v>0</v>
      </c>
      <c r="B35" s="256"/>
      <c r="C35" s="256"/>
      <c r="D35" s="256"/>
      <c r="E35" s="5"/>
    </row>
    <row r="36" spans="1:5" ht="18" customHeight="1">
      <c r="A36" s="261" t="s">
        <v>42</v>
      </c>
      <c r="B36" s="261"/>
      <c r="C36" s="261"/>
      <c r="D36" s="261"/>
      <c r="E36" s="43"/>
    </row>
    <row r="37" spans="1:5" ht="18.75" customHeight="1">
      <c r="A37" s="258" t="s">
        <v>26</v>
      </c>
      <c r="B37" s="258"/>
      <c r="C37" s="258"/>
      <c r="D37" s="258"/>
      <c r="E37" s="9"/>
    </row>
    <row r="38" spans="1:5" ht="18" customHeight="1">
      <c r="A38" s="12" t="s">
        <v>4</v>
      </c>
      <c r="B38" s="31" t="s">
        <v>27</v>
      </c>
      <c r="C38" s="44" t="s">
        <v>28</v>
      </c>
      <c r="D38" s="29" t="s">
        <v>29</v>
      </c>
      <c r="E38" s="29"/>
    </row>
    <row r="39" spans="1:5" ht="16.5">
      <c r="A39" s="26" t="s">
        <v>10</v>
      </c>
      <c r="B39" s="45">
        <v>117</v>
      </c>
      <c r="C39" s="45">
        <f>120+120</f>
        <v>240</v>
      </c>
      <c r="D39" s="46">
        <f aca="true" t="shared" si="0" ref="D39:D44">+C39+B39</f>
        <v>357</v>
      </c>
      <c r="E39" s="47"/>
    </row>
    <row r="40" spans="1:5" ht="16.5">
      <c r="A40" s="26" t="s">
        <v>11</v>
      </c>
      <c r="B40" s="45">
        <v>117</v>
      </c>
      <c r="C40" s="45">
        <f>120+120</f>
        <v>240</v>
      </c>
      <c r="D40" s="46">
        <f t="shared" si="0"/>
        <v>357</v>
      </c>
      <c r="E40" s="47"/>
    </row>
    <row r="41" spans="1:5" ht="27.75" customHeight="1">
      <c r="A41" s="26" t="s">
        <v>24</v>
      </c>
      <c r="B41" s="45">
        <v>259</v>
      </c>
      <c r="C41" s="45">
        <v>360</v>
      </c>
      <c r="D41" s="46">
        <f t="shared" si="0"/>
        <v>619</v>
      </c>
      <c r="E41" s="47"/>
    </row>
    <row r="42" spans="1:5" ht="16.5">
      <c r="A42" s="26" t="s">
        <v>13</v>
      </c>
      <c r="B42" s="45">
        <v>74</v>
      </c>
      <c r="C42" s="45">
        <v>0</v>
      </c>
      <c r="D42" s="46">
        <f t="shared" si="0"/>
        <v>74</v>
      </c>
      <c r="E42" s="47"/>
    </row>
    <row r="43" spans="1:28" s="4" customFormat="1" ht="18.75" customHeight="1">
      <c r="A43" s="26" t="s">
        <v>14</v>
      </c>
      <c r="B43" s="45">
        <v>119</v>
      </c>
      <c r="C43" s="45">
        <v>0</v>
      </c>
      <c r="D43" s="46">
        <f t="shared" si="0"/>
        <v>119</v>
      </c>
      <c r="E43" s="47"/>
      <c r="F43" s="3"/>
      <c r="G43" s="3"/>
      <c r="P43" s="4">
        <f>+C42/C45</f>
        <v>0</v>
      </c>
      <c r="AB43"/>
    </row>
    <row r="44" spans="1:28" s="4" customFormat="1" ht="18.75" customHeight="1" hidden="1">
      <c r="A44" s="26" t="s">
        <v>15</v>
      </c>
      <c r="B44" s="47"/>
      <c r="C44" s="47"/>
      <c r="D44" s="47">
        <f t="shared" si="0"/>
        <v>0</v>
      </c>
      <c r="E44" s="47"/>
      <c r="F44" s="3"/>
      <c r="G44" s="3"/>
      <c r="P44" s="4">
        <f>+B43/B45</f>
        <v>0.17346938775510204</v>
      </c>
      <c r="AB44"/>
    </row>
    <row r="45" spans="1:5" ht="30" customHeight="1">
      <c r="A45" s="12" t="s">
        <v>30</v>
      </c>
      <c r="B45" s="37">
        <f>SUM(B39:B44)</f>
        <v>686</v>
      </c>
      <c r="C45" s="37">
        <f>SUM(C39:C44)</f>
        <v>840</v>
      </c>
      <c r="D45" s="37">
        <f>SUM(D39:D44)</f>
        <v>1526</v>
      </c>
      <c r="E45" s="37"/>
    </row>
    <row r="46" spans="1:5" ht="16.5">
      <c r="A46" s="12" t="s">
        <v>31</v>
      </c>
      <c r="B46" s="37">
        <f>+B45/15</f>
        <v>45.733333333333334</v>
      </c>
      <c r="C46" s="37">
        <f>+C45/15</f>
        <v>56</v>
      </c>
      <c r="D46" s="37">
        <f>+D45/15</f>
        <v>101.73333333333333</v>
      </c>
      <c r="E46" s="37"/>
    </row>
    <row r="47" spans="1:5" ht="26.25" customHeight="1">
      <c r="A47" s="29" t="s">
        <v>32</v>
      </c>
      <c r="B47" s="38">
        <f>+B45/D45</f>
        <v>0.44954128440366975</v>
      </c>
      <c r="C47" s="38">
        <f>+C45/D45</f>
        <v>0.5504587155963303</v>
      </c>
      <c r="D47" s="38">
        <v>1</v>
      </c>
      <c r="E47" s="38"/>
    </row>
    <row r="48" spans="1:5" ht="42.75" customHeight="1">
      <c r="A48" s="3"/>
      <c r="B48" s="3"/>
      <c r="C48" s="10"/>
      <c r="D48" s="3"/>
      <c r="E48" s="3"/>
    </row>
    <row r="49" spans="1:5" ht="18.75" customHeight="1">
      <c r="A49" s="262" t="s">
        <v>0</v>
      </c>
      <c r="B49" s="262"/>
      <c r="C49" s="262"/>
      <c r="D49" s="262"/>
      <c r="E49" s="48"/>
    </row>
    <row r="50" spans="1:5" ht="18.75" customHeight="1">
      <c r="A50" s="257" t="s">
        <v>42</v>
      </c>
      <c r="B50" s="257"/>
      <c r="C50" s="257"/>
      <c r="D50" s="257"/>
      <c r="E50" s="7"/>
    </row>
    <row r="51" spans="1:5" ht="18.75" customHeight="1">
      <c r="A51" s="258" t="s">
        <v>33</v>
      </c>
      <c r="B51" s="258"/>
      <c r="C51" s="258"/>
      <c r="D51" s="258"/>
      <c r="E51" s="9"/>
    </row>
    <row r="52" spans="1:5" ht="24">
      <c r="A52" s="12" t="s">
        <v>4</v>
      </c>
      <c r="B52" s="12" t="s">
        <v>34</v>
      </c>
      <c r="C52" s="14" t="s">
        <v>35</v>
      </c>
      <c r="D52" s="12" t="s">
        <v>29</v>
      </c>
      <c r="E52" s="12"/>
    </row>
    <row r="53" spans="1:5" ht="16.5">
      <c r="A53" s="39" t="s">
        <v>10</v>
      </c>
      <c r="B53" s="49">
        <f>+B39/D39</f>
        <v>0.3277310924369748</v>
      </c>
      <c r="C53" s="49">
        <f>+C39/D39</f>
        <v>0.6722689075630253</v>
      </c>
      <c r="D53" s="49">
        <f>SUM(B53:C53)</f>
        <v>1</v>
      </c>
      <c r="E53" s="50"/>
    </row>
    <row r="54" spans="1:5" ht="16.5">
      <c r="A54" s="39" t="s">
        <v>11</v>
      </c>
      <c r="B54" s="49">
        <f>+B40/D40</f>
        <v>0.3277310924369748</v>
      </c>
      <c r="C54" s="49">
        <f>+C40/D40</f>
        <v>0.6722689075630253</v>
      </c>
      <c r="D54" s="49">
        <f>SUM(B54:C54)</f>
        <v>1</v>
      </c>
      <c r="E54" s="50"/>
    </row>
    <row r="55" spans="1:5" ht="32.25" customHeight="1">
      <c r="A55" s="39" t="s">
        <v>24</v>
      </c>
      <c r="B55" s="49">
        <f>+B41/D41</f>
        <v>0.4184168012924071</v>
      </c>
      <c r="C55" s="49">
        <f>+C41/D41</f>
        <v>0.5815831987075929</v>
      </c>
      <c r="D55" s="49">
        <f>SUM(B55:C55)</f>
        <v>1</v>
      </c>
      <c r="E55" s="50"/>
    </row>
    <row r="56" spans="1:5" ht="16.5">
      <c r="A56" s="39" t="s">
        <v>13</v>
      </c>
      <c r="B56" s="49">
        <f>+B42/D42</f>
        <v>1</v>
      </c>
      <c r="C56" s="49">
        <f>+C42/D42</f>
        <v>0</v>
      </c>
      <c r="D56" s="49">
        <f>SUM(B56:C56)</f>
        <v>1</v>
      </c>
      <c r="E56" s="50"/>
    </row>
    <row r="57" spans="1:5" ht="16.5">
      <c r="A57" s="39" t="s">
        <v>14</v>
      </c>
      <c r="B57" s="49">
        <f>+B43/D43</f>
        <v>1</v>
      </c>
      <c r="C57" s="49">
        <f>+C43/D43</f>
        <v>0</v>
      </c>
      <c r="D57" s="49">
        <f>SUM(B57:C57)</f>
        <v>1</v>
      </c>
      <c r="E57" s="50"/>
    </row>
    <row r="58" spans="1:5" ht="16.5">
      <c r="A58" s="12"/>
      <c r="B58" s="51"/>
      <c r="C58" s="51"/>
      <c r="D58" s="51"/>
      <c r="E58" s="51"/>
    </row>
    <row r="59" spans="1:5" ht="12">
      <c r="A59" s="3"/>
      <c r="B59" s="3"/>
      <c r="C59" s="10"/>
      <c r="D59" s="3"/>
      <c r="E59" s="3"/>
    </row>
    <row r="60" spans="1:22" ht="15" customHeight="1">
      <c r="A60" s="256" t="s">
        <v>0</v>
      </c>
      <c r="B60" s="256"/>
      <c r="C60" s="256"/>
      <c r="D60" s="256"/>
      <c r="E60" s="256"/>
      <c r="F60" s="256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9.5" customHeight="1">
      <c r="A61" s="256" t="s">
        <v>42</v>
      </c>
      <c r="B61" s="256"/>
      <c r="C61" s="256"/>
      <c r="D61" s="256"/>
      <c r="E61" s="256"/>
      <c r="F61" s="256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7" ht="17.25" customHeight="1">
      <c r="A62" s="258" t="s">
        <v>36</v>
      </c>
      <c r="B62" s="258"/>
      <c r="C62" s="258"/>
      <c r="D62" s="258"/>
      <c r="E62" s="258"/>
      <c r="F62" s="258"/>
      <c r="G62" s="9"/>
    </row>
    <row r="63" spans="1:7" s="4" customFormat="1" ht="12">
      <c r="A63" s="3"/>
      <c r="B63" s="31">
        <v>511</v>
      </c>
      <c r="C63" s="10"/>
      <c r="D63" s="52">
        <v>311</v>
      </c>
      <c r="E63" s="3"/>
      <c r="F63" s="3"/>
      <c r="G63" s="3"/>
    </row>
    <row r="64" spans="1:29" ht="12">
      <c r="A64" s="53" t="s">
        <v>4</v>
      </c>
      <c r="B64" s="31" t="s">
        <v>37</v>
      </c>
      <c r="C64" s="31" t="s">
        <v>38</v>
      </c>
      <c r="D64" s="32" t="s">
        <v>39</v>
      </c>
      <c r="E64" s="32" t="s">
        <v>40</v>
      </c>
      <c r="F64" s="15" t="s">
        <v>29</v>
      </c>
      <c r="G64"/>
      <c r="AB64" s="4"/>
      <c r="AC64" s="4"/>
    </row>
    <row r="65" spans="1:29" ht="16.5">
      <c r="A65" s="54" t="s">
        <v>13</v>
      </c>
      <c r="B65" s="36">
        <v>49</v>
      </c>
      <c r="C65" s="55">
        <f>+B65/F65</f>
        <v>0.6363636363636364</v>
      </c>
      <c r="D65" s="36">
        <v>28</v>
      </c>
      <c r="E65" s="55">
        <f>+D65/F65</f>
        <v>0.36363636363636365</v>
      </c>
      <c r="F65" s="36">
        <f aca="true" t="shared" si="1" ref="F65:F70">+B65+D65</f>
        <v>77</v>
      </c>
      <c r="G65"/>
      <c r="AB65" s="4"/>
      <c r="AC65" s="4"/>
    </row>
    <row r="66" spans="1:29" ht="16.5">
      <c r="A66" s="54" t="s">
        <v>14</v>
      </c>
      <c r="B66" s="36">
        <v>32</v>
      </c>
      <c r="C66" s="55">
        <f>+B66/F66</f>
        <v>0.7441860465116279</v>
      </c>
      <c r="D66" s="36">
        <v>11</v>
      </c>
      <c r="E66" s="55">
        <f>+D66/F66</f>
        <v>0.2558139534883721</v>
      </c>
      <c r="F66" s="36">
        <f t="shared" si="1"/>
        <v>43</v>
      </c>
      <c r="G66"/>
      <c r="AB66" s="4"/>
      <c r="AC66" s="4"/>
    </row>
    <row r="67" spans="1:29" ht="30.75" customHeight="1">
      <c r="A67" s="56" t="s">
        <v>10</v>
      </c>
      <c r="B67" s="36">
        <v>41</v>
      </c>
      <c r="C67" s="55">
        <f>+B67/F67</f>
        <v>0.803921568627451</v>
      </c>
      <c r="D67" s="36">
        <v>10</v>
      </c>
      <c r="E67" s="55">
        <f>+D67/F67</f>
        <v>0.19607843137254902</v>
      </c>
      <c r="F67" s="36">
        <f t="shared" si="1"/>
        <v>51</v>
      </c>
      <c r="G67"/>
      <c r="AB67" s="4"/>
      <c r="AC67" s="4"/>
    </row>
    <row r="68" spans="1:29" ht="16.5">
      <c r="A68" s="54" t="s">
        <v>24</v>
      </c>
      <c r="B68" s="36">
        <v>117</v>
      </c>
      <c r="C68" s="55">
        <f>+B68/F68</f>
        <v>0.5441860465116279</v>
      </c>
      <c r="D68" s="36">
        <v>98</v>
      </c>
      <c r="E68" s="55">
        <f>+D68/F68</f>
        <v>0.4558139534883721</v>
      </c>
      <c r="F68" s="36">
        <f t="shared" si="1"/>
        <v>215</v>
      </c>
      <c r="G68"/>
      <c r="H68" s="57"/>
      <c r="AB68" s="4"/>
      <c r="AC68" s="4"/>
    </row>
    <row r="69" spans="1:29" ht="17.25" customHeight="1">
      <c r="A69" s="56" t="s">
        <v>11</v>
      </c>
      <c r="B69" s="36">
        <v>71</v>
      </c>
      <c r="C69" s="55">
        <f>+B69/F69</f>
        <v>0.5819672131147541</v>
      </c>
      <c r="D69" s="36">
        <v>51</v>
      </c>
      <c r="E69" s="55">
        <f>+D69/F69</f>
        <v>0.4180327868852459</v>
      </c>
      <c r="F69" s="36">
        <f t="shared" si="1"/>
        <v>122</v>
      </c>
      <c r="G69"/>
      <c r="AB69" s="4"/>
      <c r="AC69" s="4"/>
    </row>
    <row r="70" spans="1:29" ht="16.5" hidden="1">
      <c r="A70" s="54" t="s">
        <v>15</v>
      </c>
      <c r="B70" s="36">
        <v>0</v>
      </c>
      <c r="C70" s="55">
        <v>0</v>
      </c>
      <c r="D70" s="36"/>
      <c r="E70" s="55">
        <v>0</v>
      </c>
      <c r="F70" s="36">
        <f t="shared" si="1"/>
        <v>0</v>
      </c>
      <c r="G70"/>
      <c r="AB70" s="4"/>
      <c r="AC70" s="4"/>
    </row>
    <row r="71" spans="1:29" ht="16.5">
      <c r="A71" s="53" t="s">
        <v>16</v>
      </c>
      <c r="B71" s="37">
        <f>SUM(B65:B70)</f>
        <v>310</v>
      </c>
      <c r="C71" s="51">
        <f>+B71/F71</f>
        <v>0.610236220472441</v>
      </c>
      <c r="D71" s="37">
        <f>SUM(D65:D70)</f>
        <v>198</v>
      </c>
      <c r="E71" s="51">
        <f>+D71/F71</f>
        <v>0.38976377952755903</v>
      </c>
      <c r="F71" s="37">
        <f>SUM(F65:F70)</f>
        <v>508</v>
      </c>
      <c r="G71"/>
      <c r="AB71" s="4"/>
      <c r="AC71" s="4"/>
    </row>
    <row r="72" spans="1:5" ht="12">
      <c r="A72" s="3"/>
      <c r="B72" s="3"/>
      <c r="C72" s="10"/>
      <c r="D72" s="3"/>
      <c r="E72" s="3"/>
    </row>
    <row r="73" spans="1:5" ht="12">
      <c r="A73" s="3"/>
      <c r="B73" s="58"/>
      <c r="C73" s="10"/>
      <c r="D73" s="3"/>
      <c r="E73" s="3"/>
    </row>
    <row r="74" spans="1:5" ht="12">
      <c r="A74" s="3"/>
      <c r="B74" s="3"/>
      <c r="C74" s="10"/>
      <c r="D74" s="3"/>
      <c r="E74" s="3"/>
    </row>
    <row r="75" spans="1:5" ht="12">
      <c r="A75" s="3"/>
      <c r="B75" s="3"/>
      <c r="C75" s="10"/>
      <c r="D75" s="3"/>
      <c r="E75" s="3"/>
    </row>
    <row r="76" spans="1:5" ht="12">
      <c r="A76" s="3"/>
      <c r="B76" s="3"/>
      <c r="C76" s="10"/>
      <c r="D76" s="3"/>
      <c r="E76" s="3"/>
    </row>
    <row r="77" spans="1:5" ht="12">
      <c r="A77" s="3"/>
      <c r="B77" s="3"/>
      <c r="C77" s="10"/>
      <c r="D77" s="3"/>
      <c r="E77" s="3"/>
    </row>
    <row r="78" spans="1:5" ht="12">
      <c r="A78" s="3"/>
      <c r="B78" s="3"/>
      <c r="C78" s="10"/>
      <c r="D78" s="3"/>
      <c r="E78" s="3"/>
    </row>
    <row r="79" spans="1:5" ht="12">
      <c r="A79" s="3"/>
      <c r="B79" s="3"/>
      <c r="C79" s="10"/>
      <c r="D79" s="3"/>
      <c r="E79" s="3"/>
    </row>
    <row r="80" spans="1:5" ht="21" customHeight="1">
      <c r="A80" s="3"/>
      <c r="B80" s="3"/>
      <c r="C80" s="10"/>
      <c r="D80" s="3"/>
      <c r="E80" s="3"/>
    </row>
    <row r="81" spans="1:5" ht="21" customHeight="1">
      <c r="A81" s="3"/>
      <c r="B81" s="3"/>
      <c r="C81" s="10"/>
      <c r="D81" s="3"/>
      <c r="E81" s="3"/>
    </row>
    <row r="82" spans="1:5" ht="18.75" customHeight="1">
      <c r="A82" s="3"/>
      <c r="B82" s="3"/>
      <c r="C82" s="10"/>
      <c r="D82" s="3"/>
      <c r="E82" s="3"/>
    </row>
    <row r="83" spans="1:5" ht="12">
      <c r="A83" s="3"/>
      <c r="B83" s="3"/>
      <c r="C83" s="10"/>
      <c r="D83" s="3"/>
      <c r="E83" s="3"/>
    </row>
    <row r="84" spans="1:5" ht="12">
      <c r="A84" s="3"/>
      <c r="B84" s="3"/>
      <c r="C84" s="10"/>
      <c r="D84" s="3"/>
      <c r="E84" s="3"/>
    </row>
    <row r="85" spans="1:5" ht="12">
      <c r="A85" s="3"/>
      <c r="B85" s="3"/>
      <c r="C85" s="10"/>
      <c r="D85" s="3"/>
      <c r="E85" s="3"/>
    </row>
    <row r="86" spans="1:5" ht="12">
      <c r="A86" s="3"/>
      <c r="B86" s="3"/>
      <c r="C86" s="10"/>
      <c r="D86" s="3"/>
      <c r="E86" s="3"/>
    </row>
    <row r="87" spans="1:5" ht="12">
      <c r="A87" s="3"/>
      <c r="B87" s="3"/>
      <c r="C87" s="10"/>
      <c r="D87" s="3"/>
      <c r="E87" s="3"/>
    </row>
    <row r="88" spans="1:5" ht="12">
      <c r="A88" s="3"/>
      <c r="B88" s="3"/>
      <c r="C88" s="10"/>
      <c r="D88" s="3"/>
      <c r="E88" s="3"/>
    </row>
    <row r="89" spans="1:5" ht="12">
      <c r="A89" s="3"/>
      <c r="B89" s="3"/>
      <c r="C89" s="10"/>
      <c r="D89" s="3"/>
      <c r="E89" s="3"/>
    </row>
    <row r="90" spans="1:5" ht="12">
      <c r="A90" s="3"/>
      <c r="B90" s="3"/>
      <c r="C90" s="10"/>
      <c r="D90" s="3"/>
      <c r="E90" s="3"/>
    </row>
    <row r="91" spans="1:5" ht="12">
      <c r="A91" s="3"/>
      <c r="B91" s="3"/>
      <c r="C91" s="10"/>
      <c r="D91" s="3"/>
      <c r="E91" s="3"/>
    </row>
    <row r="92" spans="1:5" ht="12">
      <c r="A92" s="3"/>
      <c r="B92" s="3"/>
      <c r="C92" s="10"/>
      <c r="D92" s="3"/>
      <c r="E92" s="3"/>
    </row>
    <row r="93" spans="1:9" ht="12">
      <c r="A93" s="3"/>
      <c r="B93" s="3"/>
      <c r="C93" s="10"/>
      <c r="D93" s="3"/>
      <c r="E93" s="3"/>
      <c r="I93" s="4" t="s">
        <v>41</v>
      </c>
    </row>
    <row r="94" spans="1:5" ht="12">
      <c r="A94" s="3"/>
      <c r="B94" s="3"/>
      <c r="C94" s="10"/>
      <c r="D94" s="3"/>
      <c r="E94" s="3"/>
    </row>
    <row r="95" spans="1:5" ht="12">
      <c r="A95" s="3"/>
      <c r="B95" s="3"/>
      <c r="C95" s="10"/>
      <c r="D95" s="3"/>
      <c r="E95" s="3"/>
    </row>
    <row r="96" spans="1:5" ht="12">
      <c r="A96" s="3"/>
      <c r="B96" s="3"/>
      <c r="C96" s="10"/>
      <c r="D96" s="3"/>
      <c r="E96" s="3"/>
    </row>
    <row r="97" spans="1:5" ht="12">
      <c r="A97" s="3"/>
      <c r="B97" s="3"/>
      <c r="C97" s="10"/>
      <c r="D97" s="3"/>
      <c r="E97" s="3"/>
    </row>
    <row r="98" spans="1:5" ht="12">
      <c r="A98" s="3"/>
      <c r="B98" s="3"/>
      <c r="C98" s="10"/>
      <c r="D98" s="3"/>
      <c r="E98" s="3"/>
    </row>
    <row r="99" spans="1:5" ht="12">
      <c r="A99" s="3"/>
      <c r="B99" s="3"/>
      <c r="C99" s="10"/>
      <c r="D99" s="3"/>
      <c r="E99" s="3"/>
    </row>
    <row r="100" spans="1:5" ht="12">
      <c r="A100" s="3"/>
      <c r="B100" s="3"/>
      <c r="C100" s="10"/>
      <c r="D100" s="3"/>
      <c r="E100" s="3"/>
    </row>
    <row r="101" spans="1:5" ht="12">
      <c r="A101" s="3"/>
      <c r="B101" s="3"/>
      <c r="C101" s="10"/>
      <c r="D101" s="3"/>
      <c r="E101" s="3"/>
    </row>
    <row r="102" spans="1:5" ht="12">
      <c r="A102" s="3"/>
      <c r="B102" s="3"/>
      <c r="C102" s="10"/>
      <c r="D102" s="3"/>
      <c r="E102" s="3"/>
    </row>
    <row r="103" spans="1:5" ht="12">
      <c r="A103" s="3"/>
      <c r="B103" s="3"/>
      <c r="C103" s="10"/>
      <c r="D103" s="3"/>
      <c r="E103" s="3"/>
    </row>
    <row r="104" spans="1:5" ht="12">
      <c r="A104" s="3"/>
      <c r="B104" s="3"/>
      <c r="C104" s="10"/>
      <c r="D104" s="3"/>
      <c r="E104" s="3"/>
    </row>
    <row r="105" spans="1:5" ht="12">
      <c r="A105" s="3"/>
      <c r="B105" s="3"/>
      <c r="C105" s="10"/>
      <c r="D105" s="3"/>
      <c r="E105" s="3"/>
    </row>
    <row r="106" spans="1:5" ht="12">
      <c r="A106" s="3"/>
      <c r="B106" s="3"/>
      <c r="C106" s="10"/>
      <c r="D106" s="3"/>
      <c r="E106" s="3"/>
    </row>
    <row r="107" spans="1:5" ht="12">
      <c r="A107" s="3"/>
      <c r="B107" s="3"/>
      <c r="C107" s="10"/>
      <c r="D107" s="3"/>
      <c r="E107" s="3"/>
    </row>
    <row r="108" spans="1:5" ht="12">
      <c r="A108" s="3"/>
      <c r="B108" s="3"/>
      <c r="C108" s="10"/>
      <c r="D108" s="3"/>
      <c r="E108" s="3"/>
    </row>
    <row r="109" spans="1:5" ht="12">
      <c r="A109" s="3"/>
      <c r="B109" s="3"/>
      <c r="C109" s="10"/>
      <c r="D109" s="3"/>
      <c r="E109" s="3"/>
    </row>
    <row r="110" spans="1:5" ht="12">
      <c r="A110" s="3"/>
      <c r="B110" s="3"/>
      <c r="C110" s="10"/>
      <c r="D110" s="3"/>
      <c r="E110" s="3"/>
    </row>
    <row r="111" spans="1:5" ht="12">
      <c r="A111" s="3"/>
      <c r="B111" s="3"/>
      <c r="C111" s="10"/>
      <c r="D111" s="3"/>
      <c r="E111" s="3"/>
    </row>
    <row r="112" spans="1:5" ht="12">
      <c r="A112" s="3"/>
      <c r="B112" s="3"/>
      <c r="C112" s="10"/>
      <c r="D112" s="3"/>
      <c r="E112" s="3"/>
    </row>
    <row r="113" spans="1:5" ht="12">
      <c r="A113" s="3"/>
      <c r="B113" s="3"/>
      <c r="C113" s="10"/>
      <c r="D113" s="3"/>
      <c r="E113" s="3"/>
    </row>
    <row r="114" spans="1:5" ht="12">
      <c r="A114" s="3"/>
      <c r="B114" s="3"/>
      <c r="C114" s="10"/>
      <c r="D114" s="3"/>
      <c r="E114" s="3"/>
    </row>
    <row r="115" spans="1:5" ht="12">
      <c r="A115" s="3"/>
      <c r="B115" s="3"/>
      <c r="C115" s="10"/>
      <c r="D115" s="3"/>
      <c r="E115" s="3"/>
    </row>
    <row r="116" spans="1:5" ht="12">
      <c r="A116" s="3"/>
      <c r="B116" s="3"/>
      <c r="C116" s="10"/>
      <c r="D116" s="3"/>
      <c r="E116" s="3"/>
    </row>
    <row r="117" spans="1:5" ht="12">
      <c r="A117" s="3"/>
      <c r="B117" s="3"/>
      <c r="C117" s="10"/>
      <c r="D117" s="3"/>
      <c r="E117" s="3"/>
    </row>
    <row r="118" spans="1:5" ht="12">
      <c r="A118" s="3"/>
      <c r="B118" s="3"/>
      <c r="C118" s="10"/>
      <c r="D118" s="3"/>
      <c r="E118" s="3"/>
    </row>
    <row r="119" spans="1:5" ht="12">
      <c r="A119" s="3"/>
      <c r="B119" s="3"/>
      <c r="C119" s="10"/>
      <c r="D119" s="3"/>
      <c r="E119" s="3"/>
    </row>
    <row r="120" spans="1:5" ht="12">
      <c r="A120" s="3"/>
      <c r="B120" s="3"/>
      <c r="C120" s="10"/>
      <c r="D120" s="3"/>
      <c r="E120" s="3"/>
    </row>
    <row r="121" spans="1:5" ht="12">
      <c r="A121" s="3"/>
      <c r="B121" s="3"/>
      <c r="C121" s="10"/>
      <c r="D121" s="3"/>
      <c r="E121" s="3"/>
    </row>
    <row r="122" spans="1:5" ht="12">
      <c r="A122" s="3"/>
      <c r="B122" s="3"/>
      <c r="C122" s="10"/>
      <c r="D122" s="3"/>
      <c r="E122" s="3"/>
    </row>
    <row r="123" spans="1:5" ht="12">
      <c r="A123" s="3"/>
      <c r="B123" s="3"/>
      <c r="C123" s="10"/>
      <c r="D123" s="3"/>
      <c r="E123" s="3"/>
    </row>
    <row r="124" spans="1:5" ht="12">
      <c r="A124" s="3"/>
      <c r="B124" s="3"/>
      <c r="C124" s="10"/>
      <c r="D124" s="3"/>
      <c r="E124" s="3"/>
    </row>
    <row r="125" spans="1:5" ht="12">
      <c r="A125" s="3"/>
      <c r="B125" s="3"/>
      <c r="C125" s="10"/>
      <c r="D125" s="3"/>
      <c r="E125" s="3"/>
    </row>
    <row r="126" spans="1:5" ht="12">
      <c r="A126" s="3"/>
      <c r="B126" s="3"/>
      <c r="C126" s="10"/>
      <c r="D126" s="3"/>
      <c r="E126" s="3"/>
    </row>
    <row r="127" spans="1:5" ht="12">
      <c r="A127" s="3"/>
      <c r="B127" s="3"/>
      <c r="C127" s="10"/>
      <c r="D127" s="3"/>
      <c r="E127" s="3"/>
    </row>
    <row r="128" spans="1:5" ht="12">
      <c r="A128" s="3"/>
      <c r="B128" s="3"/>
      <c r="C128" s="10"/>
      <c r="D128" s="3"/>
      <c r="E128" s="3"/>
    </row>
    <row r="129" spans="1:5" ht="12">
      <c r="A129" s="3"/>
      <c r="B129" s="3"/>
      <c r="C129" s="10"/>
      <c r="D129" s="3"/>
      <c r="E129" s="3"/>
    </row>
    <row r="130" spans="1:5" ht="12">
      <c r="A130" s="3"/>
      <c r="B130" s="3"/>
      <c r="C130" s="10"/>
      <c r="D130" s="3"/>
      <c r="E130" s="3"/>
    </row>
    <row r="131" spans="1:5" ht="12">
      <c r="A131" s="3"/>
      <c r="B131" s="3"/>
      <c r="C131" s="10"/>
      <c r="D131" s="3"/>
      <c r="E131" s="3"/>
    </row>
    <row r="132" spans="1:5" ht="12">
      <c r="A132" s="3"/>
      <c r="B132" s="3"/>
      <c r="C132" s="10"/>
      <c r="D132" s="3"/>
      <c r="E132" s="3"/>
    </row>
    <row r="133" spans="1:5" ht="12">
      <c r="A133" s="3"/>
      <c r="B133" s="3"/>
      <c r="C133" s="10"/>
      <c r="D133" s="3"/>
      <c r="E133" s="3"/>
    </row>
    <row r="134" spans="1:5" ht="12">
      <c r="A134" s="3"/>
      <c r="B134" s="3"/>
      <c r="C134" s="10"/>
      <c r="D134" s="3"/>
      <c r="E134" s="3"/>
    </row>
    <row r="135" spans="1:5" ht="12">
      <c r="A135" s="3"/>
      <c r="B135" s="3"/>
      <c r="C135" s="10"/>
      <c r="D135" s="3"/>
      <c r="E135" s="3"/>
    </row>
    <row r="136" spans="1:5" ht="12">
      <c r="A136" s="3"/>
      <c r="B136" s="3"/>
      <c r="C136" s="10"/>
      <c r="D136" s="3"/>
      <c r="E136" s="3"/>
    </row>
    <row r="137" spans="1:5" ht="12">
      <c r="A137" s="3"/>
      <c r="B137" s="3"/>
      <c r="C137" s="10"/>
      <c r="D137" s="3"/>
      <c r="E137" s="3"/>
    </row>
    <row r="138" spans="1:5" ht="12">
      <c r="A138" s="3"/>
      <c r="B138" s="3"/>
      <c r="C138" s="10"/>
      <c r="D138" s="3"/>
      <c r="E138" s="3"/>
    </row>
    <row r="139" spans="1:5" ht="12">
      <c r="A139" s="3"/>
      <c r="B139" s="3"/>
      <c r="C139" s="10"/>
      <c r="D139" s="3"/>
      <c r="E139" s="3"/>
    </row>
    <row r="140" spans="1:5" ht="12">
      <c r="A140" s="3"/>
      <c r="B140" s="3"/>
      <c r="C140" s="10"/>
      <c r="D140" s="3"/>
      <c r="E140" s="3"/>
    </row>
    <row r="141" spans="1:5" ht="12">
      <c r="A141" s="3"/>
      <c r="B141" s="3"/>
      <c r="C141" s="10"/>
      <c r="D141" s="3"/>
      <c r="E141" s="3"/>
    </row>
    <row r="142" spans="1:5" ht="12">
      <c r="A142" s="3"/>
      <c r="B142" s="3"/>
      <c r="C142" s="10"/>
      <c r="D142" s="3"/>
      <c r="E142" s="3"/>
    </row>
    <row r="143" spans="1:5" ht="12">
      <c r="A143" s="3"/>
      <c r="B143" s="3"/>
      <c r="C143" s="10"/>
      <c r="D143" s="3"/>
      <c r="E143" s="3"/>
    </row>
    <row r="144" spans="1:5" ht="12">
      <c r="A144" s="3"/>
      <c r="B144" s="3"/>
      <c r="C144" s="10"/>
      <c r="D144" s="3"/>
      <c r="E144" s="3"/>
    </row>
    <row r="145" spans="1:5" ht="12">
      <c r="A145" s="3"/>
      <c r="B145" s="3"/>
      <c r="C145" s="10"/>
      <c r="D145" s="3"/>
      <c r="E145" s="3"/>
    </row>
    <row r="146" spans="1:5" ht="12">
      <c r="A146" s="3"/>
      <c r="B146" s="3"/>
      <c r="C146" s="10"/>
      <c r="D146" s="3"/>
      <c r="E146" s="3"/>
    </row>
    <row r="147" spans="1:5" ht="12">
      <c r="A147" s="3"/>
      <c r="B147" s="3"/>
      <c r="C147" s="10"/>
      <c r="D147" s="3"/>
      <c r="E147" s="3"/>
    </row>
    <row r="148" spans="1:5" ht="12">
      <c r="A148" s="3"/>
      <c r="B148" s="3"/>
      <c r="C148" s="10"/>
      <c r="D148" s="3"/>
      <c r="E148" s="3"/>
    </row>
    <row r="149" spans="1:5" ht="12">
      <c r="A149" s="3"/>
      <c r="B149" s="3"/>
      <c r="C149" s="10"/>
      <c r="D149" s="3"/>
      <c r="E149" s="3"/>
    </row>
    <row r="150" spans="1:5" ht="12">
      <c r="A150" s="3"/>
      <c r="B150" s="3"/>
      <c r="C150" s="10"/>
      <c r="D150" s="3"/>
      <c r="E150" s="3"/>
    </row>
    <row r="151" spans="1:5" ht="12">
      <c r="A151" s="3"/>
      <c r="B151" s="3"/>
      <c r="C151" s="10"/>
      <c r="D151" s="3"/>
      <c r="E151" s="3"/>
    </row>
    <row r="152" spans="1:5" ht="12">
      <c r="A152" s="3"/>
      <c r="B152" s="3"/>
      <c r="C152" s="10"/>
      <c r="D152" s="3"/>
      <c r="E152" s="3"/>
    </row>
    <row r="153" spans="1:5" ht="12">
      <c r="A153" s="3"/>
      <c r="B153" s="3"/>
      <c r="C153" s="10"/>
      <c r="D153" s="3"/>
      <c r="E153" s="3"/>
    </row>
    <row r="154" spans="1:5" ht="12">
      <c r="A154" s="3"/>
      <c r="B154" s="3"/>
      <c r="C154" s="10"/>
      <c r="D154" s="3"/>
      <c r="E154" s="3"/>
    </row>
    <row r="155" spans="1:5" ht="12">
      <c r="A155" s="3"/>
      <c r="B155" s="3"/>
      <c r="C155" s="10"/>
      <c r="D155" s="3"/>
      <c r="E155" s="3"/>
    </row>
    <row r="156" spans="1:5" ht="12">
      <c r="A156" s="3"/>
      <c r="B156" s="3"/>
      <c r="C156" s="10"/>
      <c r="D156" s="3"/>
      <c r="E156" s="3"/>
    </row>
    <row r="157" spans="1:5" ht="12">
      <c r="A157" s="3"/>
      <c r="B157" s="3"/>
      <c r="C157" s="10"/>
      <c r="D157" s="3"/>
      <c r="E157" s="3"/>
    </row>
    <row r="158" spans="1:5" ht="12">
      <c r="A158" s="3"/>
      <c r="B158" s="3"/>
      <c r="C158" s="10"/>
      <c r="D158" s="3"/>
      <c r="E158" s="3"/>
    </row>
    <row r="159" spans="1:5" ht="12">
      <c r="A159" s="3"/>
      <c r="B159" s="3"/>
      <c r="C159" s="10"/>
      <c r="D159" s="3"/>
      <c r="E159" s="3"/>
    </row>
    <row r="160" spans="1:5" ht="12">
      <c r="A160" s="3"/>
      <c r="B160" s="3"/>
      <c r="C160" s="10"/>
      <c r="D160" s="3"/>
      <c r="E160" s="3"/>
    </row>
    <row r="161" spans="1:5" ht="12">
      <c r="A161" s="3"/>
      <c r="B161" s="3"/>
      <c r="C161" s="10"/>
      <c r="D161" s="3"/>
      <c r="E161" s="3"/>
    </row>
    <row r="162" spans="1:5" ht="12">
      <c r="A162" s="3"/>
      <c r="B162" s="3"/>
      <c r="C162" s="10"/>
      <c r="D162" s="3"/>
      <c r="E162" s="3"/>
    </row>
    <row r="163" spans="1:5" ht="12">
      <c r="A163" s="3"/>
      <c r="B163" s="3"/>
      <c r="C163" s="10"/>
      <c r="D163" s="3"/>
      <c r="E163" s="3"/>
    </row>
    <row r="164" spans="1:5" ht="12">
      <c r="A164" s="3"/>
      <c r="B164" s="3"/>
      <c r="C164" s="10"/>
      <c r="D164" s="3"/>
      <c r="E164" s="3"/>
    </row>
    <row r="165" spans="1:5" ht="12">
      <c r="A165" s="3"/>
      <c r="B165" s="3"/>
      <c r="C165" s="10"/>
      <c r="D165" s="3"/>
      <c r="E165" s="3"/>
    </row>
    <row r="166" spans="1:5" ht="12">
      <c r="A166" s="3"/>
      <c r="B166" s="3"/>
      <c r="C166" s="10"/>
      <c r="D166" s="3"/>
      <c r="E166" s="3"/>
    </row>
    <row r="167" spans="1:5" ht="12">
      <c r="A167" s="3"/>
      <c r="B167" s="3"/>
      <c r="C167" s="10"/>
      <c r="D167" s="3"/>
      <c r="E167" s="3"/>
    </row>
    <row r="168" spans="1:5" ht="12">
      <c r="A168" s="3"/>
      <c r="B168" s="3"/>
      <c r="C168" s="10"/>
      <c r="D168" s="3"/>
      <c r="E168" s="3"/>
    </row>
    <row r="169" spans="1:5" ht="12">
      <c r="A169" s="3"/>
      <c r="B169" s="3"/>
      <c r="C169" s="10"/>
      <c r="D169" s="3"/>
      <c r="E169" s="3"/>
    </row>
    <row r="170" spans="1:5" ht="12">
      <c r="A170" s="3"/>
      <c r="B170" s="3"/>
      <c r="C170" s="10"/>
      <c r="D170" s="3"/>
      <c r="E170" s="3"/>
    </row>
    <row r="171" spans="1:5" ht="12">
      <c r="A171" s="3"/>
      <c r="B171" s="3"/>
      <c r="C171" s="10"/>
      <c r="D171" s="3"/>
      <c r="E171" s="3"/>
    </row>
    <row r="172" spans="1:5" ht="12">
      <c r="A172" s="3"/>
      <c r="B172" s="3"/>
      <c r="C172" s="10"/>
      <c r="D172" s="3"/>
      <c r="E172" s="3"/>
    </row>
    <row r="173" spans="1:5" ht="12">
      <c r="A173" s="3"/>
      <c r="B173" s="3"/>
      <c r="C173" s="10"/>
      <c r="D173" s="3"/>
      <c r="E173" s="3"/>
    </row>
    <row r="174" spans="1:5" ht="12">
      <c r="A174" s="3"/>
      <c r="B174" s="3"/>
      <c r="C174" s="10"/>
      <c r="D174" s="3"/>
      <c r="E174" s="3"/>
    </row>
    <row r="175" spans="1:5" ht="12">
      <c r="A175" s="3"/>
      <c r="B175" s="3"/>
      <c r="C175" s="10"/>
      <c r="D175" s="3"/>
      <c r="E175" s="3"/>
    </row>
    <row r="176" spans="1:5" ht="12">
      <c r="A176" s="3"/>
      <c r="B176" s="3"/>
      <c r="C176" s="10"/>
      <c r="D176" s="3"/>
      <c r="E176" s="3"/>
    </row>
    <row r="177" spans="1:5" ht="12">
      <c r="A177" s="3"/>
      <c r="B177" s="3"/>
      <c r="C177" s="10"/>
      <c r="D177" s="3"/>
      <c r="E177" s="3"/>
    </row>
    <row r="178" spans="1:5" ht="12">
      <c r="A178" s="3"/>
      <c r="B178" s="3"/>
      <c r="C178" s="10"/>
      <c r="D178" s="3"/>
      <c r="E178" s="3"/>
    </row>
    <row r="179" spans="1:5" ht="12">
      <c r="A179" s="3"/>
      <c r="B179" s="3"/>
      <c r="C179" s="10"/>
      <c r="D179" s="3"/>
      <c r="E179" s="3"/>
    </row>
    <row r="180" spans="1:5" ht="12">
      <c r="A180" s="3"/>
      <c r="B180" s="3"/>
      <c r="C180" s="10"/>
      <c r="D180" s="3"/>
      <c r="E180" s="3"/>
    </row>
    <row r="181" spans="1:5" ht="12">
      <c r="A181" s="3"/>
      <c r="B181" s="3"/>
      <c r="C181" s="10"/>
      <c r="D181" s="3"/>
      <c r="E181" s="3"/>
    </row>
    <row r="182" spans="1:5" ht="12">
      <c r="A182" s="3"/>
      <c r="B182" s="3"/>
      <c r="C182" s="10"/>
      <c r="D182" s="3"/>
      <c r="E182" s="3"/>
    </row>
    <row r="183" spans="1:5" ht="12">
      <c r="A183" s="3"/>
      <c r="B183" s="3"/>
      <c r="C183" s="10"/>
      <c r="D183" s="3"/>
      <c r="E183" s="3"/>
    </row>
    <row r="184" spans="1:5" ht="12">
      <c r="A184" s="3"/>
      <c r="B184" s="3"/>
      <c r="C184" s="10"/>
      <c r="D184" s="3"/>
      <c r="E184" s="3"/>
    </row>
    <row r="185" spans="1:5" ht="12">
      <c r="A185" s="3"/>
      <c r="B185" s="3"/>
      <c r="C185" s="10"/>
      <c r="D185" s="3"/>
      <c r="E185" s="3"/>
    </row>
    <row r="186" spans="1:5" ht="12">
      <c r="A186" s="3"/>
      <c r="B186" s="3"/>
      <c r="C186" s="10"/>
      <c r="D186" s="3"/>
      <c r="E186" s="3"/>
    </row>
    <row r="187" spans="1:5" ht="12">
      <c r="A187" s="3"/>
      <c r="B187" s="3"/>
      <c r="C187" s="10"/>
      <c r="D187" s="3"/>
      <c r="E187" s="3"/>
    </row>
    <row r="188" spans="1:5" ht="12">
      <c r="A188" s="3"/>
      <c r="B188" s="3"/>
      <c r="C188" s="10"/>
      <c r="D188" s="3"/>
      <c r="E188" s="3"/>
    </row>
    <row r="189" spans="1:5" ht="12">
      <c r="A189" s="3"/>
      <c r="B189" s="3"/>
      <c r="C189" s="10"/>
      <c r="D189" s="3"/>
      <c r="E189" s="3"/>
    </row>
    <row r="190" spans="1:5" ht="12">
      <c r="A190" s="3"/>
      <c r="B190" s="3"/>
      <c r="C190" s="10"/>
      <c r="D190" s="3"/>
      <c r="E190" s="3"/>
    </row>
    <row r="191" spans="1:5" ht="12">
      <c r="A191" s="3"/>
      <c r="B191" s="3"/>
      <c r="C191" s="10"/>
      <c r="D191" s="3"/>
      <c r="E191" s="3"/>
    </row>
    <row r="192" spans="1:5" ht="12">
      <c r="A192" s="3"/>
      <c r="B192" s="3"/>
      <c r="C192" s="10"/>
      <c r="D192" s="3"/>
      <c r="E192" s="3"/>
    </row>
    <row r="193" spans="1:5" ht="12">
      <c r="A193" s="3"/>
      <c r="B193" s="3"/>
      <c r="C193" s="10"/>
      <c r="D193" s="3"/>
      <c r="E193" s="3"/>
    </row>
    <row r="194" spans="1:5" ht="12">
      <c r="A194" s="3"/>
      <c r="B194" s="3"/>
      <c r="C194" s="10"/>
      <c r="D194" s="3"/>
      <c r="E194" s="3"/>
    </row>
    <row r="195" spans="1:5" ht="12">
      <c r="A195" s="3"/>
      <c r="B195" s="3"/>
      <c r="C195" s="10"/>
      <c r="D195" s="3"/>
      <c r="E195" s="3"/>
    </row>
    <row r="196" spans="1:5" ht="12">
      <c r="A196" s="3"/>
      <c r="B196" s="3"/>
      <c r="C196" s="10"/>
      <c r="D196" s="3"/>
      <c r="E196" s="3"/>
    </row>
    <row r="197" spans="1:5" ht="12">
      <c r="A197" s="3"/>
      <c r="B197" s="3"/>
      <c r="C197" s="10"/>
      <c r="D197" s="3"/>
      <c r="E197" s="3"/>
    </row>
    <row r="198" spans="1:5" ht="12">
      <c r="A198" s="3"/>
      <c r="B198" s="3"/>
      <c r="C198" s="10"/>
      <c r="D198" s="3"/>
      <c r="E198" s="3"/>
    </row>
    <row r="199" spans="1:5" ht="12">
      <c r="A199" s="3"/>
      <c r="B199" s="3"/>
      <c r="C199" s="10"/>
      <c r="D199" s="3"/>
      <c r="E199" s="3"/>
    </row>
  </sheetData>
  <sheetProtection selectLockedCells="1" selectUnlockedCells="1"/>
  <mergeCells count="17">
    <mergeCell ref="A50:D50"/>
    <mergeCell ref="A51:D51"/>
    <mergeCell ref="A60:F60"/>
    <mergeCell ref="A61:F61"/>
    <mergeCell ref="A62:F62"/>
    <mergeCell ref="A21:F21"/>
    <mergeCell ref="A22:F22"/>
    <mergeCell ref="A35:D35"/>
    <mergeCell ref="A36:D36"/>
    <mergeCell ref="A37:D37"/>
    <mergeCell ref="A49:D49"/>
    <mergeCell ref="A1:F1"/>
    <mergeCell ref="A2:F2"/>
    <mergeCell ref="A3:F3"/>
    <mergeCell ref="C5:D5"/>
    <mergeCell ref="A15:F15"/>
    <mergeCell ref="A20:F20"/>
  </mergeCells>
  <printOptions/>
  <pageMargins left="0.7" right="0.7" top="1.25" bottom="0.75" header="0.5118055555555555" footer="0.5118055555555555"/>
  <pageSetup horizontalDpi="300" verticalDpi="300" orientation="landscape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AC199"/>
  <sheetViews>
    <sheetView zoomScale="65" zoomScaleNormal="65" zoomScaleSheetLayoutView="65" workbookViewId="0" topLeftCell="A1">
      <selection activeCell="B11" activeCellId="1" sqref="N57:N58 B11"/>
    </sheetView>
  </sheetViews>
  <sheetFormatPr defaultColWidth="9.140625" defaultRowHeight="12.75"/>
  <cols>
    <col min="1" max="1" width="30.7109375" style="1" customWidth="1"/>
    <col min="2" max="2" width="15.7109375" style="1" customWidth="1"/>
    <col min="3" max="3" width="14.00390625" style="2" customWidth="1"/>
    <col min="4" max="5" width="14.00390625" style="1" customWidth="1"/>
    <col min="6" max="6" width="13.421875" style="3" customWidth="1"/>
    <col min="7" max="7" width="12.421875" style="3" customWidth="1"/>
    <col min="8" max="27" width="9.140625" style="4" customWidth="1"/>
  </cols>
  <sheetData>
    <row r="1" spans="1:22" ht="21" customHeight="1">
      <c r="A1" s="256" t="s">
        <v>0</v>
      </c>
      <c r="B1" s="256"/>
      <c r="C1" s="256"/>
      <c r="D1" s="256"/>
      <c r="E1" s="256"/>
      <c r="F1" s="25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257" t="s">
        <v>44</v>
      </c>
      <c r="B2" s="257"/>
      <c r="C2" s="257"/>
      <c r="D2" s="257"/>
      <c r="E2" s="257"/>
      <c r="F2" s="2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6" ht="18.75" customHeight="1">
      <c r="A3" s="258" t="s">
        <v>2</v>
      </c>
      <c r="B3" s="258"/>
      <c r="C3" s="258"/>
      <c r="D3" s="258"/>
      <c r="E3" s="258"/>
      <c r="F3" s="258"/>
    </row>
    <row r="4" spans="1:5" ht="12">
      <c r="A4" s="3"/>
      <c r="B4" s="3"/>
      <c r="C4" s="10"/>
      <c r="D4" s="3"/>
      <c r="E4" s="3"/>
    </row>
    <row r="5" spans="1:5" ht="12.75" customHeight="1">
      <c r="A5" s="3"/>
      <c r="B5" s="3"/>
      <c r="C5" s="259" t="s">
        <v>3</v>
      </c>
      <c r="D5" s="259"/>
      <c r="E5" s="11"/>
    </row>
    <row r="6" spans="1:6" ht="12">
      <c r="A6" s="12" t="s">
        <v>4</v>
      </c>
      <c r="B6" s="13" t="s">
        <v>45</v>
      </c>
      <c r="C6" s="14" t="s">
        <v>6</v>
      </c>
      <c r="D6" s="12" t="s">
        <v>7</v>
      </c>
      <c r="E6" s="12" t="s">
        <v>8</v>
      </c>
      <c r="F6" s="15" t="s">
        <v>9</v>
      </c>
    </row>
    <row r="7" spans="1:6" ht="16.5">
      <c r="A7" s="16" t="s">
        <v>10</v>
      </c>
      <c r="B7" s="17">
        <f>+88+617</f>
        <v>705</v>
      </c>
      <c r="C7" s="17">
        <f>+37+453</f>
        <v>490</v>
      </c>
      <c r="D7" s="17">
        <f>+36+164</f>
        <v>200</v>
      </c>
      <c r="E7" s="17">
        <v>15</v>
      </c>
      <c r="F7" s="18">
        <f>(D7+E7)/B7</f>
        <v>0.3049645390070922</v>
      </c>
    </row>
    <row r="8" spans="1:16" ht="16.5">
      <c r="A8" s="16" t="s">
        <v>11</v>
      </c>
      <c r="B8" s="17">
        <f>+60+66</f>
        <v>126</v>
      </c>
      <c r="C8" s="17">
        <f>+28+55</f>
        <v>83</v>
      </c>
      <c r="D8" s="17">
        <f>+25+11</f>
        <v>36</v>
      </c>
      <c r="E8" s="17">
        <v>7</v>
      </c>
      <c r="F8" s="18">
        <f>(D8+E8)/B8</f>
        <v>0.3412698412698413</v>
      </c>
      <c r="P8" s="4">
        <f>+C8/C13</f>
        <v>0.03005068790731354</v>
      </c>
    </row>
    <row r="9" spans="1:6" ht="16.5">
      <c r="A9" s="19" t="s">
        <v>12</v>
      </c>
      <c r="B9" s="17">
        <f>+153+152</f>
        <v>305</v>
      </c>
      <c r="C9" s="17">
        <f>+84+94</f>
        <v>178</v>
      </c>
      <c r="D9" s="17">
        <f>+12+58</f>
        <v>70</v>
      </c>
      <c r="E9" s="17">
        <v>57</v>
      </c>
      <c r="F9" s="18">
        <f>(D9+E9)/B9</f>
        <v>0.4163934426229508</v>
      </c>
    </row>
    <row r="10" spans="1:6" ht="16.5">
      <c r="A10" s="16" t="s">
        <v>13</v>
      </c>
      <c r="B10" s="17">
        <f>+0+160</f>
        <v>160</v>
      </c>
      <c r="C10" s="17">
        <v>129</v>
      </c>
      <c r="D10" s="17">
        <v>31</v>
      </c>
      <c r="E10" s="17">
        <v>0</v>
      </c>
      <c r="F10" s="18">
        <f>(D10+E10)/B10</f>
        <v>0.19375</v>
      </c>
    </row>
    <row r="11" spans="1:6" ht="14.25" customHeight="1">
      <c r="A11" s="19" t="s">
        <v>14</v>
      </c>
      <c r="B11" s="17">
        <v>2271</v>
      </c>
      <c r="C11" s="17">
        <v>1882</v>
      </c>
      <c r="D11" s="17">
        <v>370</v>
      </c>
      <c r="E11" s="17">
        <v>19</v>
      </c>
      <c r="F11" s="18">
        <f>(D11+E11)/B11</f>
        <v>0.1712901805372083</v>
      </c>
    </row>
    <row r="12" spans="1:7" ht="16.5" hidden="1">
      <c r="A12" s="19" t="s">
        <v>15</v>
      </c>
      <c r="B12" s="17"/>
      <c r="C12" s="17"/>
      <c r="D12" s="17"/>
      <c r="E12" s="17"/>
      <c r="F12" s="18">
        <v>0</v>
      </c>
      <c r="G12" s="20"/>
    </row>
    <row r="13" spans="1:6" ht="16.5">
      <c r="A13" s="12" t="s">
        <v>16</v>
      </c>
      <c r="B13" s="21">
        <f>SUM(B7:B12)</f>
        <v>3567</v>
      </c>
      <c r="C13" s="21">
        <f>SUM(C7:C12)</f>
        <v>2762</v>
      </c>
      <c r="D13" s="21">
        <f>SUM(D7:D12)</f>
        <v>707</v>
      </c>
      <c r="E13" s="21">
        <f>SUM(E7:E12)</f>
        <v>98</v>
      </c>
      <c r="F13" s="22">
        <f>(+D13+E13)/B13</f>
        <v>0.2256798430053266</v>
      </c>
    </row>
    <row r="14" spans="1:6" ht="16.5">
      <c r="A14" s="23"/>
      <c r="B14" s="23">
        <f>+B11/B13</f>
        <v>0.6366694701429773</v>
      </c>
      <c r="C14" s="24">
        <f>+C13/B13</f>
        <v>0.7743201569946734</v>
      </c>
      <c r="D14" s="24">
        <f>+D13/B13</f>
        <v>0.1982057751611999</v>
      </c>
      <c r="E14" s="24">
        <f>+E13/B13</f>
        <v>0.027474067844126718</v>
      </c>
      <c r="F14" s="25"/>
    </row>
    <row r="15" spans="1:6" ht="12.75" customHeight="1">
      <c r="A15" s="260"/>
      <c r="B15" s="260"/>
      <c r="C15" s="260"/>
      <c r="D15" s="260"/>
      <c r="E15" s="260"/>
      <c r="F15" s="260"/>
    </row>
    <row r="16" spans="1:6" ht="12">
      <c r="A16" s="26"/>
      <c r="B16" s="26"/>
      <c r="C16" s="26"/>
      <c r="D16" s="26"/>
      <c r="E16" s="26"/>
      <c r="F16" s="26"/>
    </row>
    <row r="17" spans="1:6" ht="25.5" customHeight="1">
      <c r="A17" s="26"/>
      <c r="B17" s="26"/>
      <c r="C17" s="26"/>
      <c r="D17" s="26"/>
      <c r="E17" s="26"/>
      <c r="F17" s="26"/>
    </row>
    <row r="18" spans="1:6" ht="25.5" customHeight="1">
      <c r="A18" s="26"/>
      <c r="B18" s="26"/>
      <c r="C18" s="26"/>
      <c r="D18" s="26"/>
      <c r="E18" s="26"/>
      <c r="F18" s="26"/>
    </row>
    <row r="19" spans="1:6" ht="25.5" customHeight="1">
      <c r="A19" s="26"/>
      <c r="B19" s="26"/>
      <c r="C19" s="26"/>
      <c r="D19" s="26"/>
      <c r="E19" s="26"/>
      <c r="F19" s="26"/>
    </row>
    <row r="20" spans="1:22" ht="21" customHeight="1">
      <c r="A20" s="256" t="s">
        <v>0</v>
      </c>
      <c r="B20" s="256"/>
      <c r="C20" s="256"/>
      <c r="D20" s="256"/>
      <c r="E20" s="256"/>
      <c r="F20" s="256"/>
      <c r="G20" s="2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.75" customHeight="1">
      <c r="A21" s="256" t="s">
        <v>44</v>
      </c>
      <c r="B21" s="256"/>
      <c r="C21" s="256"/>
      <c r="D21" s="256"/>
      <c r="E21" s="256"/>
      <c r="F21" s="256"/>
      <c r="G21" s="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7" ht="27.75" customHeight="1">
      <c r="A22" s="258" t="s">
        <v>17</v>
      </c>
      <c r="B22" s="258"/>
      <c r="C22" s="258"/>
      <c r="D22" s="258"/>
      <c r="E22" s="258"/>
      <c r="F22" s="258"/>
      <c r="G22" s="28"/>
    </row>
    <row r="23" spans="1:7" s="4" customFormat="1" ht="12">
      <c r="A23" s="3"/>
      <c r="B23" s="3"/>
      <c r="C23" s="10"/>
      <c r="D23" s="3"/>
      <c r="E23" s="3"/>
      <c r="F23" s="3"/>
      <c r="G23" s="3"/>
    </row>
    <row r="24" spans="1:6" s="4" customFormat="1" ht="12">
      <c r="A24" s="12" t="s">
        <v>18</v>
      </c>
      <c r="B24" s="13">
        <v>697</v>
      </c>
      <c r="C24" s="29">
        <v>187</v>
      </c>
      <c r="D24" s="30">
        <v>2260</v>
      </c>
      <c r="E24" s="12">
        <f>119+37+9</f>
        <v>165</v>
      </c>
      <c r="F24" s="12">
        <v>159</v>
      </c>
    </row>
    <row r="25" spans="1:29" ht="12">
      <c r="A25" s="12" t="s">
        <v>4</v>
      </c>
      <c r="B25" s="31" t="s">
        <v>19</v>
      </c>
      <c r="C25" s="32" t="s">
        <v>20</v>
      </c>
      <c r="D25" s="33" t="s">
        <v>21</v>
      </c>
      <c r="E25" s="15" t="s">
        <v>22</v>
      </c>
      <c r="F25" s="34" t="s">
        <v>43</v>
      </c>
      <c r="AB25" s="4"/>
      <c r="AC25" s="4"/>
    </row>
    <row r="26" spans="1:29" ht="16.5">
      <c r="A26" s="59" t="s">
        <v>10</v>
      </c>
      <c r="B26" s="36">
        <f>+15+186</f>
        <v>201</v>
      </c>
      <c r="C26" s="36">
        <f>+11+81</f>
        <v>92</v>
      </c>
      <c r="D26" s="36">
        <f>+8+8</f>
        <v>16</v>
      </c>
      <c r="E26" s="36">
        <v>106</v>
      </c>
      <c r="F26" s="60">
        <f>+3+72</f>
        <v>75</v>
      </c>
      <c r="AB26" s="4"/>
      <c r="AC26" s="4"/>
    </row>
    <row r="27" spans="1:29" ht="16.5">
      <c r="A27" s="59" t="s">
        <v>11</v>
      </c>
      <c r="B27" s="36">
        <f>+20+34</f>
        <v>54</v>
      </c>
      <c r="C27" s="36">
        <v>1</v>
      </c>
      <c r="D27" s="36">
        <f>+6+21</f>
        <v>27</v>
      </c>
      <c r="E27" s="36">
        <v>1</v>
      </c>
      <c r="F27" s="36">
        <v>0</v>
      </c>
      <c r="AB27" s="4"/>
      <c r="AC27" s="4"/>
    </row>
    <row r="28" spans="1:29" ht="30.75" customHeight="1">
      <c r="A28" s="16" t="s">
        <v>24</v>
      </c>
      <c r="B28" s="36">
        <f>+44+75</f>
        <v>119</v>
      </c>
      <c r="C28" s="36">
        <v>18</v>
      </c>
      <c r="D28" s="36">
        <f>+13+17</f>
        <v>30</v>
      </c>
      <c r="E28" s="36">
        <f>+5+2</f>
        <v>7</v>
      </c>
      <c r="F28" s="36">
        <v>4</v>
      </c>
      <c r="AB28" s="4"/>
      <c r="AC28" s="4"/>
    </row>
    <row r="29" spans="1:29" ht="16.5">
      <c r="A29" s="16" t="s">
        <v>13</v>
      </c>
      <c r="B29" s="36">
        <v>40</v>
      </c>
      <c r="C29" s="36">
        <v>16</v>
      </c>
      <c r="D29" s="36">
        <v>36</v>
      </c>
      <c r="E29" s="36">
        <v>5</v>
      </c>
      <c r="F29" s="36">
        <v>32</v>
      </c>
      <c r="AB29" s="4"/>
      <c r="AC29" s="4"/>
    </row>
    <row r="30" spans="1:29" ht="16.5">
      <c r="A30" s="16" t="s">
        <v>14</v>
      </c>
      <c r="B30" s="36">
        <v>49</v>
      </c>
      <c r="C30" s="36">
        <v>17</v>
      </c>
      <c r="D30" s="36">
        <v>1806</v>
      </c>
      <c r="E30" s="36">
        <v>0</v>
      </c>
      <c r="F30" s="36">
        <v>10</v>
      </c>
      <c r="AB30" s="4"/>
      <c r="AC30" s="4"/>
    </row>
    <row r="31" spans="1:29" ht="16.5" hidden="1">
      <c r="A31" s="19" t="s">
        <v>15</v>
      </c>
      <c r="B31" s="36"/>
      <c r="C31" s="36"/>
      <c r="D31" s="36"/>
      <c r="E31" s="36"/>
      <c r="F31" s="36"/>
      <c r="AB31" s="4"/>
      <c r="AC31" s="4"/>
    </row>
    <row r="32" spans="1:29" ht="16.5">
      <c r="A32" s="12" t="s">
        <v>16</v>
      </c>
      <c r="B32" s="37">
        <f>SUM(B26:B31)</f>
        <v>463</v>
      </c>
      <c r="C32" s="37">
        <f>SUM(C26:C31)</f>
        <v>144</v>
      </c>
      <c r="D32" s="37">
        <f>SUM(D26:D31)</f>
        <v>1915</v>
      </c>
      <c r="E32" s="37">
        <f>SUM(E26:E31)</f>
        <v>119</v>
      </c>
      <c r="F32" s="37">
        <f>SUM(F26:F31)</f>
        <v>121</v>
      </c>
      <c r="AB32" s="4"/>
      <c r="AC32" s="4"/>
    </row>
    <row r="33" spans="1:29" ht="16.5">
      <c r="A33" s="29" t="s">
        <v>25</v>
      </c>
      <c r="B33" s="38">
        <f>+B32/C13</f>
        <v>0.16763215061549602</v>
      </c>
      <c r="C33" s="38">
        <f>+C32/C13</f>
        <v>0.05213613323678494</v>
      </c>
      <c r="D33" s="38">
        <f>+D32/C13</f>
        <v>0.6933381607530775</v>
      </c>
      <c r="E33" s="38">
        <f>+E32/C13</f>
        <v>0.043084721216509775</v>
      </c>
      <c r="F33" s="38">
        <f>+F32/C13</f>
        <v>0.04380883417813179</v>
      </c>
      <c r="AB33" s="4"/>
      <c r="AC33" s="4"/>
    </row>
    <row r="34" spans="1:7" s="4" customFormat="1" ht="108" customHeight="1">
      <c r="A34" s="39"/>
      <c r="B34" s="40"/>
      <c r="C34" s="41"/>
      <c r="D34" s="42"/>
      <c r="E34" s="42"/>
      <c r="F34" s="3"/>
      <c r="G34" s="3"/>
    </row>
    <row r="35" spans="1:5" ht="21" customHeight="1">
      <c r="A35" s="256" t="s">
        <v>0</v>
      </c>
      <c r="B35" s="256"/>
      <c r="C35" s="256"/>
      <c r="D35" s="256"/>
      <c r="E35" s="5"/>
    </row>
    <row r="36" spans="1:5" ht="18" customHeight="1">
      <c r="A36" s="261" t="s">
        <v>44</v>
      </c>
      <c r="B36" s="261"/>
      <c r="C36" s="261"/>
      <c r="D36" s="261"/>
      <c r="E36" s="43"/>
    </row>
    <row r="37" spans="1:5" ht="18.75" customHeight="1">
      <c r="A37" s="258" t="s">
        <v>26</v>
      </c>
      <c r="B37" s="258"/>
      <c r="C37" s="258"/>
      <c r="D37" s="258"/>
      <c r="E37" s="9"/>
    </row>
    <row r="38" spans="1:5" ht="18" customHeight="1">
      <c r="A38" s="12" t="s">
        <v>4</v>
      </c>
      <c r="B38" s="31" t="s">
        <v>27</v>
      </c>
      <c r="C38" s="44" t="s">
        <v>28</v>
      </c>
      <c r="D38" s="29" t="s">
        <v>29</v>
      </c>
      <c r="E38" s="29"/>
    </row>
    <row r="39" spans="1:5" ht="16.5">
      <c r="A39" s="26" t="s">
        <v>10</v>
      </c>
      <c r="B39" s="45">
        <f>+117+146</f>
        <v>263</v>
      </c>
      <c r="C39" s="45">
        <v>240</v>
      </c>
      <c r="D39" s="46">
        <f aca="true" t="shared" si="0" ref="D39:D44">+C39+B39</f>
        <v>503</v>
      </c>
      <c r="E39" s="47"/>
    </row>
    <row r="40" spans="1:5" ht="16.5">
      <c r="A40" s="26" t="s">
        <v>11</v>
      </c>
      <c r="B40" s="45">
        <v>84</v>
      </c>
      <c r="C40" s="45">
        <v>240</v>
      </c>
      <c r="D40" s="46">
        <f t="shared" si="0"/>
        <v>324</v>
      </c>
      <c r="E40" s="47"/>
    </row>
    <row r="41" spans="1:5" ht="27.75" customHeight="1">
      <c r="A41" s="26" t="s">
        <v>24</v>
      </c>
      <c r="B41" s="45">
        <v>245</v>
      </c>
      <c r="C41" s="45">
        <v>360</v>
      </c>
      <c r="D41" s="46">
        <f t="shared" si="0"/>
        <v>605</v>
      </c>
      <c r="E41" s="47"/>
    </row>
    <row r="42" spans="1:5" ht="16.5">
      <c r="A42" s="26" t="s">
        <v>13</v>
      </c>
      <c r="B42" s="45">
        <v>98</v>
      </c>
      <c r="C42" s="45">
        <v>0</v>
      </c>
      <c r="D42" s="46">
        <f t="shared" si="0"/>
        <v>98</v>
      </c>
      <c r="E42" s="47"/>
    </row>
    <row r="43" spans="1:28" s="4" customFormat="1" ht="18.75" customHeight="1">
      <c r="A43" s="26" t="s">
        <v>14</v>
      </c>
      <c r="B43" s="45">
        <v>507</v>
      </c>
      <c r="C43" s="45">
        <v>100</v>
      </c>
      <c r="D43" s="46">
        <f t="shared" si="0"/>
        <v>607</v>
      </c>
      <c r="E43" s="47"/>
      <c r="F43" s="3"/>
      <c r="G43" s="3"/>
      <c r="P43" s="4">
        <f>+C42/C45</f>
        <v>0</v>
      </c>
      <c r="AB43"/>
    </row>
    <row r="44" spans="1:28" s="4" customFormat="1" ht="18.75" customHeight="1" hidden="1">
      <c r="A44" s="26" t="s">
        <v>15</v>
      </c>
      <c r="B44" s="47"/>
      <c r="C44" s="47"/>
      <c r="D44" s="47">
        <f t="shared" si="0"/>
        <v>0</v>
      </c>
      <c r="E44" s="47"/>
      <c r="F44" s="3"/>
      <c r="G44" s="3"/>
      <c r="P44" s="4">
        <f>+B43/B45</f>
        <v>0.42355889724310775</v>
      </c>
      <c r="AB44"/>
    </row>
    <row r="45" spans="1:5" ht="30" customHeight="1">
      <c r="A45" s="12" t="s">
        <v>30</v>
      </c>
      <c r="B45" s="37">
        <f>SUM(B39:B44)</f>
        <v>1197</v>
      </c>
      <c r="C45" s="37">
        <f>SUM(C39:C44)</f>
        <v>940</v>
      </c>
      <c r="D45" s="37">
        <f>SUM(D39:D44)</f>
        <v>2137</v>
      </c>
      <c r="E45" s="37"/>
    </row>
    <row r="46" spans="1:5" ht="16.5">
      <c r="A46" s="12" t="s">
        <v>31</v>
      </c>
      <c r="B46" s="37">
        <f>+B45/15</f>
        <v>79.8</v>
      </c>
      <c r="C46" s="37">
        <f>+C45/15</f>
        <v>62.666666666666664</v>
      </c>
      <c r="D46" s="37">
        <f>+D45/15</f>
        <v>142.46666666666667</v>
      </c>
      <c r="E46" s="37"/>
    </row>
    <row r="47" spans="1:5" ht="26.25" customHeight="1">
      <c r="A47" s="29" t="s">
        <v>32</v>
      </c>
      <c r="B47" s="38">
        <f>+B45/D45</f>
        <v>0.5601310248011231</v>
      </c>
      <c r="C47" s="38">
        <f>+C45/D45</f>
        <v>0.4398689751988769</v>
      </c>
      <c r="D47" s="38">
        <v>1</v>
      </c>
      <c r="E47" s="38"/>
    </row>
    <row r="48" spans="1:5" ht="42.75" customHeight="1">
      <c r="A48" s="3"/>
      <c r="B48" s="3"/>
      <c r="C48" s="10"/>
      <c r="D48" s="3"/>
      <c r="E48" s="3"/>
    </row>
    <row r="49" spans="1:5" ht="18.75" customHeight="1">
      <c r="A49" s="262" t="s">
        <v>0</v>
      </c>
      <c r="B49" s="262"/>
      <c r="C49" s="262"/>
      <c r="D49" s="262"/>
      <c r="E49" s="48"/>
    </row>
    <row r="50" spans="1:5" ht="18.75" customHeight="1">
      <c r="A50" s="257" t="s">
        <v>44</v>
      </c>
      <c r="B50" s="257"/>
      <c r="C50" s="257"/>
      <c r="D50" s="257"/>
      <c r="E50" s="7"/>
    </row>
    <row r="51" spans="1:5" ht="18.75" customHeight="1">
      <c r="A51" s="258" t="s">
        <v>33</v>
      </c>
      <c r="B51" s="258"/>
      <c r="C51" s="258"/>
      <c r="D51" s="258"/>
      <c r="E51" s="9"/>
    </row>
    <row r="52" spans="1:5" ht="12">
      <c r="A52" s="12" t="s">
        <v>4</v>
      </c>
      <c r="B52" s="12" t="s">
        <v>34</v>
      </c>
      <c r="C52" s="14" t="s">
        <v>35</v>
      </c>
      <c r="D52" s="12" t="s">
        <v>29</v>
      </c>
      <c r="E52" s="12"/>
    </row>
    <row r="53" spans="1:5" ht="16.5">
      <c r="A53" s="39" t="s">
        <v>10</v>
      </c>
      <c r="B53" s="49">
        <f>+B39/D39</f>
        <v>0.5228628230616302</v>
      </c>
      <c r="C53" s="49">
        <f>+C39/D39</f>
        <v>0.47713717693836977</v>
      </c>
      <c r="D53" s="49">
        <f>SUM(B53:C53)</f>
        <v>1</v>
      </c>
      <c r="E53" s="50"/>
    </row>
    <row r="54" spans="1:5" ht="16.5">
      <c r="A54" s="39" t="s">
        <v>11</v>
      </c>
      <c r="B54" s="49">
        <f>+B40/D40</f>
        <v>0.25925925925925924</v>
      </c>
      <c r="C54" s="49">
        <f>+C40/D40</f>
        <v>0.7407407407407407</v>
      </c>
      <c r="D54" s="49">
        <f>SUM(B54:C54)</f>
        <v>1</v>
      </c>
      <c r="E54" s="50"/>
    </row>
    <row r="55" spans="1:5" ht="32.25" customHeight="1">
      <c r="A55" s="39" t="s">
        <v>24</v>
      </c>
      <c r="B55" s="49">
        <f>+B41/D41</f>
        <v>0.4049586776859504</v>
      </c>
      <c r="C55" s="49">
        <f>+C41/D41</f>
        <v>0.5950413223140496</v>
      </c>
      <c r="D55" s="49">
        <f>SUM(B55:C55)</f>
        <v>1</v>
      </c>
      <c r="E55" s="50"/>
    </row>
    <row r="56" spans="1:5" ht="16.5">
      <c r="A56" s="39" t="s">
        <v>13</v>
      </c>
      <c r="B56" s="49">
        <f>+B42/D42</f>
        <v>1</v>
      </c>
      <c r="C56" s="49">
        <f>+C42/D42</f>
        <v>0</v>
      </c>
      <c r="D56" s="49">
        <f>SUM(B56:C56)</f>
        <v>1</v>
      </c>
      <c r="E56" s="50"/>
    </row>
    <row r="57" spans="1:5" ht="16.5">
      <c r="A57" s="39" t="s">
        <v>14</v>
      </c>
      <c r="B57" s="49">
        <f>+B43/D43</f>
        <v>0.8352553542009885</v>
      </c>
      <c r="C57" s="49">
        <f>+C43/D43</f>
        <v>0.16474464579901152</v>
      </c>
      <c r="D57" s="49">
        <f>SUM(B57:C57)</f>
        <v>1</v>
      </c>
      <c r="E57" s="50"/>
    </row>
    <row r="58" spans="1:5" ht="16.5">
      <c r="A58" s="12"/>
      <c r="B58" s="51"/>
      <c r="C58" s="51"/>
      <c r="D58" s="51"/>
      <c r="E58" s="51"/>
    </row>
    <row r="59" spans="1:5" ht="12">
      <c r="A59" s="3"/>
      <c r="B59" s="3"/>
      <c r="C59" s="10"/>
      <c r="D59" s="3"/>
      <c r="E59" s="3"/>
    </row>
    <row r="60" spans="1:22" ht="15" customHeight="1">
      <c r="A60" s="256" t="s">
        <v>0</v>
      </c>
      <c r="B60" s="256"/>
      <c r="C60" s="256"/>
      <c r="D60" s="256"/>
      <c r="E60" s="256"/>
      <c r="F60" s="256"/>
      <c r="G60" s="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9.5" customHeight="1">
      <c r="A61" s="256" t="s">
        <v>44</v>
      </c>
      <c r="B61" s="256"/>
      <c r="C61" s="256"/>
      <c r="D61" s="256"/>
      <c r="E61" s="256"/>
      <c r="F61" s="256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7" ht="17.25" customHeight="1">
      <c r="A62" s="258" t="s">
        <v>36</v>
      </c>
      <c r="B62" s="258"/>
      <c r="C62" s="258"/>
      <c r="D62" s="258"/>
      <c r="E62" s="258"/>
      <c r="F62" s="258"/>
      <c r="G62" s="9"/>
    </row>
    <row r="63" spans="1:7" s="4" customFormat="1" ht="12.75">
      <c r="A63" s="3"/>
      <c r="B63" s="31">
        <v>1496</v>
      </c>
      <c r="C63" s="10"/>
      <c r="D63" s="61">
        <f>654+165+42</f>
        <v>861</v>
      </c>
      <c r="E63" s="3"/>
      <c r="F63" s="3"/>
      <c r="G63" s="3"/>
    </row>
    <row r="64" spans="1:29" ht="12">
      <c r="A64" s="53" t="s">
        <v>4</v>
      </c>
      <c r="B64" s="31" t="s">
        <v>37</v>
      </c>
      <c r="C64" s="31" t="s">
        <v>38</v>
      </c>
      <c r="D64" s="32" t="s">
        <v>39</v>
      </c>
      <c r="E64" s="32" t="s">
        <v>40</v>
      </c>
      <c r="F64" s="15" t="s">
        <v>29</v>
      </c>
      <c r="G64"/>
      <c r="AB64" s="4"/>
      <c r="AC64" s="4"/>
    </row>
    <row r="65" spans="1:29" ht="16.5">
      <c r="A65" s="54" t="s">
        <v>13</v>
      </c>
      <c r="B65" s="36">
        <v>84</v>
      </c>
      <c r="C65" s="55">
        <f>+B65/F65</f>
        <v>0.6511627906976745</v>
      </c>
      <c r="D65" s="36">
        <v>45</v>
      </c>
      <c r="E65" s="55">
        <f>+D65/F65</f>
        <v>0.3488372093023256</v>
      </c>
      <c r="F65" s="36">
        <f aca="true" t="shared" si="1" ref="F65:F70">+B65+D65</f>
        <v>129</v>
      </c>
      <c r="G65"/>
      <c r="AB65" s="4"/>
      <c r="AC65" s="4"/>
    </row>
    <row r="66" spans="1:29" ht="16.5">
      <c r="A66" s="54" t="s">
        <v>14</v>
      </c>
      <c r="B66" s="36">
        <v>1212</v>
      </c>
      <c r="C66" s="55">
        <f>+B66/F66</f>
        <v>0.6439957492029755</v>
      </c>
      <c r="D66" s="36">
        <v>670</v>
      </c>
      <c r="E66" s="55">
        <f>+D66/F66</f>
        <v>0.35600425079702447</v>
      </c>
      <c r="F66" s="36">
        <f t="shared" si="1"/>
        <v>1882</v>
      </c>
      <c r="G66"/>
      <c r="AB66" s="4"/>
      <c r="AC66" s="4"/>
    </row>
    <row r="67" spans="1:29" ht="30.75" customHeight="1">
      <c r="A67" s="56" t="s">
        <v>10</v>
      </c>
      <c r="B67" s="36">
        <f>+26+237</f>
        <v>263</v>
      </c>
      <c r="C67" s="55">
        <f>+B67/F67</f>
        <v>0.536734693877551</v>
      </c>
      <c r="D67" s="36">
        <f>+11+216</f>
        <v>227</v>
      </c>
      <c r="E67" s="55">
        <f>+D67/F67</f>
        <v>0.463265306122449</v>
      </c>
      <c r="F67" s="36">
        <f t="shared" si="1"/>
        <v>490</v>
      </c>
      <c r="G67"/>
      <c r="AB67" s="4"/>
      <c r="AC67" s="4"/>
    </row>
    <row r="68" spans="1:29" ht="16.5">
      <c r="A68" s="54" t="s">
        <v>24</v>
      </c>
      <c r="B68" s="36">
        <f>+52+48</f>
        <v>100</v>
      </c>
      <c r="C68" s="55">
        <f>+B68/F68</f>
        <v>0.5617977528089888</v>
      </c>
      <c r="D68" s="36">
        <f>+32+46</f>
        <v>78</v>
      </c>
      <c r="E68" s="55">
        <f>+D68/F68</f>
        <v>0.43820224719101125</v>
      </c>
      <c r="F68" s="36">
        <f t="shared" si="1"/>
        <v>178</v>
      </c>
      <c r="G68"/>
      <c r="H68" s="57"/>
      <c r="AB68" s="4"/>
      <c r="AC68" s="4"/>
    </row>
    <row r="69" spans="1:29" ht="17.25" customHeight="1">
      <c r="A69" s="56" t="s">
        <v>11</v>
      </c>
      <c r="B69" s="36">
        <f>+19+33</f>
        <v>52</v>
      </c>
      <c r="C69" s="55">
        <f>+B69/F69</f>
        <v>0.6265060240963856</v>
      </c>
      <c r="D69" s="36">
        <f>+9+22</f>
        <v>31</v>
      </c>
      <c r="E69" s="55">
        <f>+D69/F69</f>
        <v>0.37349397590361444</v>
      </c>
      <c r="F69" s="36">
        <f t="shared" si="1"/>
        <v>83</v>
      </c>
      <c r="G69"/>
      <c r="AB69" s="4"/>
      <c r="AC69" s="4"/>
    </row>
    <row r="70" spans="1:29" ht="16.5" hidden="1">
      <c r="A70" s="54" t="s">
        <v>15</v>
      </c>
      <c r="B70" s="36">
        <v>0</v>
      </c>
      <c r="C70" s="55">
        <v>0</v>
      </c>
      <c r="D70" s="36"/>
      <c r="E70" s="55">
        <v>0</v>
      </c>
      <c r="F70" s="36">
        <f t="shared" si="1"/>
        <v>0</v>
      </c>
      <c r="G70"/>
      <c r="AB70" s="4"/>
      <c r="AC70" s="4"/>
    </row>
    <row r="71" spans="1:29" ht="16.5">
      <c r="A71" s="53" t="s">
        <v>16</v>
      </c>
      <c r="B71" s="37">
        <f>SUM(B65:B70)</f>
        <v>1711</v>
      </c>
      <c r="C71" s="51">
        <f>+B71/F71</f>
        <v>0.6194786386676322</v>
      </c>
      <c r="D71" s="37">
        <f>SUM(D65:D70)</f>
        <v>1051</v>
      </c>
      <c r="E71" s="51">
        <f>+D71/F71</f>
        <v>0.38052136133236786</v>
      </c>
      <c r="F71" s="37">
        <f>SUM(F65:F70)</f>
        <v>2762</v>
      </c>
      <c r="G71"/>
      <c r="AB71" s="4"/>
      <c r="AC71" s="4"/>
    </row>
    <row r="72" spans="1:5" ht="12">
      <c r="A72" s="3"/>
      <c r="B72" s="3"/>
      <c r="C72" s="10"/>
      <c r="D72" s="3"/>
      <c r="E72" s="3"/>
    </row>
    <row r="73" spans="1:5" ht="12">
      <c r="A73" s="3"/>
      <c r="B73" s="58"/>
      <c r="C73" s="10"/>
      <c r="D73" s="3"/>
      <c r="E73" s="3"/>
    </row>
    <row r="74" spans="1:5" ht="12">
      <c r="A74" s="3"/>
      <c r="B74" s="3"/>
      <c r="C74" s="10"/>
      <c r="D74" s="3"/>
      <c r="E74" s="3"/>
    </row>
    <row r="75" spans="1:5" ht="12">
      <c r="A75" s="3"/>
      <c r="B75" s="3"/>
      <c r="C75" s="10"/>
      <c r="D75" s="3"/>
      <c r="E75" s="3"/>
    </row>
    <row r="76" spans="1:5" ht="12">
      <c r="A76" s="3"/>
      <c r="B76" s="3"/>
      <c r="C76" s="10"/>
      <c r="D76" s="3"/>
      <c r="E76" s="3"/>
    </row>
    <row r="77" spans="1:5" ht="12">
      <c r="A77" s="3"/>
      <c r="B77" s="3"/>
      <c r="C77" s="10"/>
      <c r="D77" s="3"/>
      <c r="E77" s="3"/>
    </row>
    <row r="78" spans="1:5" ht="12">
      <c r="A78" s="3"/>
      <c r="B78" s="3"/>
      <c r="C78" s="10"/>
      <c r="D78" s="3"/>
      <c r="E78" s="3"/>
    </row>
    <row r="79" spans="1:5" ht="12">
      <c r="A79" s="3"/>
      <c r="B79" s="3"/>
      <c r="C79" s="10"/>
      <c r="D79" s="3"/>
      <c r="E79" s="3"/>
    </row>
    <row r="80" spans="1:5" ht="21" customHeight="1">
      <c r="A80" s="3"/>
      <c r="B80" s="3"/>
      <c r="C80" s="10"/>
      <c r="D80" s="3"/>
      <c r="E80" s="3"/>
    </row>
    <row r="81" spans="1:5" ht="21" customHeight="1">
      <c r="A81" s="3"/>
      <c r="B81" s="3"/>
      <c r="C81" s="10"/>
      <c r="D81" s="3"/>
      <c r="E81" s="3"/>
    </row>
    <row r="82" spans="1:5" ht="18.75" customHeight="1">
      <c r="A82" s="3"/>
      <c r="B82" s="3"/>
      <c r="C82" s="10"/>
      <c r="D82" s="3"/>
      <c r="E82" s="3"/>
    </row>
    <row r="83" spans="1:5" ht="12">
      <c r="A83" s="3"/>
      <c r="B83" s="3"/>
      <c r="C83" s="10"/>
      <c r="D83" s="3"/>
      <c r="E83" s="3"/>
    </row>
    <row r="84" spans="1:5" ht="12">
      <c r="A84" s="3"/>
      <c r="B84" s="3"/>
      <c r="C84" s="10"/>
      <c r="D84" s="3"/>
      <c r="E84" s="3"/>
    </row>
    <row r="85" spans="1:5" ht="12">
      <c r="A85" s="3"/>
      <c r="B85" s="3"/>
      <c r="C85" s="10"/>
      <c r="D85" s="3"/>
      <c r="E85" s="3"/>
    </row>
    <row r="86" spans="1:5" ht="12">
      <c r="A86" s="3"/>
      <c r="B86" s="3"/>
      <c r="C86" s="10"/>
      <c r="D86" s="3"/>
      <c r="E86" s="3"/>
    </row>
    <row r="87" spans="1:5" ht="12">
      <c r="A87" s="3"/>
      <c r="B87" s="3"/>
      <c r="C87" s="10"/>
      <c r="D87" s="3"/>
      <c r="E87" s="3"/>
    </row>
    <row r="88" spans="1:5" ht="12">
      <c r="A88" s="3"/>
      <c r="B88" s="3"/>
      <c r="C88" s="10"/>
      <c r="D88" s="3"/>
      <c r="E88" s="3"/>
    </row>
    <row r="89" spans="1:5" ht="12">
      <c r="A89" s="3"/>
      <c r="B89" s="3"/>
      <c r="C89" s="10"/>
      <c r="D89" s="3"/>
      <c r="E89" s="3"/>
    </row>
    <row r="90" spans="1:5" ht="12">
      <c r="A90" s="3"/>
      <c r="B90" s="3"/>
      <c r="C90" s="10"/>
      <c r="D90" s="3"/>
      <c r="E90" s="3"/>
    </row>
    <row r="91" spans="1:5" ht="12">
      <c r="A91" s="3"/>
      <c r="B91" s="3"/>
      <c r="C91" s="10"/>
      <c r="D91" s="3"/>
      <c r="E91" s="3"/>
    </row>
    <row r="92" spans="1:5" ht="12">
      <c r="A92" s="3"/>
      <c r="B92" s="3"/>
      <c r="C92" s="10"/>
      <c r="D92" s="3"/>
      <c r="E92" s="3"/>
    </row>
    <row r="93" spans="1:5" ht="12">
      <c r="A93" s="3"/>
      <c r="B93" s="3"/>
      <c r="C93" s="10"/>
      <c r="D93" s="3"/>
      <c r="E93" s="3"/>
    </row>
    <row r="94" spans="1:5" ht="12">
      <c r="A94" s="3"/>
      <c r="B94" s="3"/>
      <c r="C94" s="10"/>
      <c r="D94" s="3"/>
      <c r="E94" s="3"/>
    </row>
    <row r="95" spans="1:5" ht="12">
      <c r="A95" s="3"/>
      <c r="B95" s="3"/>
      <c r="C95" s="10"/>
      <c r="D95" s="3"/>
      <c r="E95" s="3"/>
    </row>
    <row r="96" spans="1:5" ht="12">
      <c r="A96" s="3"/>
      <c r="B96" s="3"/>
      <c r="C96" s="10"/>
      <c r="D96" s="3"/>
      <c r="E96" s="3"/>
    </row>
    <row r="97" spans="1:5" ht="12">
      <c r="A97" s="3"/>
      <c r="B97" s="3"/>
      <c r="C97" s="10"/>
      <c r="D97" s="3"/>
      <c r="E97" s="3"/>
    </row>
    <row r="98" spans="1:5" ht="12">
      <c r="A98" s="3"/>
      <c r="B98" s="3"/>
      <c r="C98" s="10"/>
      <c r="D98" s="3"/>
      <c r="E98" s="3"/>
    </row>
    <row r="99" spans="1:5" ht="12">
      <c r="A99" s="3"/>
      <c r="B99" s="3"/>
      <c r="C99" s="10"/>
      <c r="D99" s="3"/>
      <c r="E99" s="3"/>
    </row>
    <row r="100" spans="1:5" ht="12">
      <c r="A100" s="3"/>
      <c r="B100" s="3"/>
      <c r="C100" s="10"/>
      <c r="D100" s="3"/>
      <c r="E100" s="3"/>
    </row>
    <row r="101" spans="1:5" ht="12">
      <c r="A101" s="3"/>
      <c r="B101" s="3"/>
      <c r="C101" s="10"/>
      <c r="D101" s="3"/>
      <c r="E101" s="3"/>
    </row>
    <row r="102" spans="1:5" ht="12">
      <c r="A102" s="3"/>
      <c r="B102" s="3"/>
      <c r="C102" s="10"/>
      <c r="D102" s="3"/>
      <c r="E102" s="3"/>
    </row>
    <row r="103" spans="1:5" ht="12">
      <c r="A103" s="3"/>
      <c r="B103" s="3"/>
      <c r="C103" s="10"/>
      <c r="D103" s="3"/>
      <c r="E103" s="3"/>
    </row>
    <row r="104" spans="1:5" ht="12">
      <c r="A104" s="3"/>
      <c r="B104" s="3"/>
      <c r="C104" s="10"/>
      <c r="D104" s="3"/>
      <c r="E104" s="3"/>
    </row>
    <row r="105" spans="1:5" ht="12">
      <c r="A105" s="3"/>
      <c r="B105" s="3"/>
      <c r="C105" s="10"/>
      <c r="D105" s="3"/>
      <c r="E105" s="3"/>
    </row>
    <row r="106" spans="1:5" ht="12">
      <c r="A106" s="3"/>
      <c r="B106" s="3"/>
      <c r="C106" s="10"/>
      <c r="D106" s="3"/>
      <c r="E106" s="3"/>
    </row>
    <row r="107" spans="1:5" ht="12">
      <c r="A107" s="3"/>
      <c r="B107" s="3"/>
      <c r="C107" s="10"/>
      <c r="D107" s="3"/>
      <c r="E107" s="3"/>
    </row>
    <row r="108" spans="1:5" ht="12">
      <c r="A108" s="3"/>
      <c r="B108" s="3"/>
      <c r="C108" s="10"/>
      <c r="D108" s="3"/>
      <c r="E108" s="3"/>
    </row>
    <row r="109" spans="1:5" ht="12">
      <c r="A109" s="3"/>
      <c r="B109" s="3"/>
      <c r="C109" s="10"/>
      <c r="D109" s="3"/>
      <c r="E109" s="3"/>
    </row>
    <row r="110" spans="1:5" ht="12">
      <c r="A110" s="3"/>
      <c r="B110" s="3"/>
      <c r="C110" s="10"/>
      <c r="D110" s="3"/>
      <c r="E110" s="3"/>
    </row>
    <row r="111" spans="1:5" ht="12">
      <c r="A111" s="3"/>
      <c r="B111" s="3"/>
      <c r="C111" s="10"/>
      <c r="D111" s="3"/>
      <c r="E111" s="3"/>
    </row>
    <row r="112" spans="1:5" ht="12">
      <c r="A112" s="3"/>
      <c r="B112" s="3"/>
      <c r="C112" s="10"/>
      <c r="D112" s="3"/>
      <c r="E112" s="3"/>
    </row>
    <row r="113" spans="1:5" ht="12">
      <c r="A113" s="3"/>
      <c r="B113" s="3"/>
      <c r="C113" s="10"/>
      <c r="D113" s="3"/>
      <c r="E113" s="3"/>
    </row>
    <row r="114" spans="1:5" ht="12">
      <c r="A114" s="3"/>
      <c r="B114" s="3"/>
      <c r="C114" s="10"/>
      <c r="D114" s="3"/>
      <c r="E114" s="3"/>
    </row>
    <row r="115" spans="1:5" ht="12">
      <c r="A115" s="3"/>
      <c r="B115" s="3"/>
      <c r="C115" s="10"/>
      <c r="D115" s="3"/>
      <c r="E115" s="3"/>
    </row>
    <row r="116" spans="1:5" ht="12">
      <c r="A116" s="3"/>
      <c r="B116" s="3"/>
      <c r="C116" s="10"/>
      <c r="D116" s="3"/>
      <c r="E116" s="3"/>
    </row>
    <row r="117" spans="1:5" ht="12">
      <c r="A117" s="3"/>
      <c r="B117" s="3"/>
      <c r="C117" s="10"/>
      <c r="D117" s="3"/>
      <c r="E117" s="3"/>
    </row>
    <row r="118" spans="1:5" ht="12">
      <c r="A118" s="3"/>
      <c r="B118" s="3"/>
      <c r="C118" s="10"/>
      <c r="D118" s="3"/>
      <c r="E118" s="3"/>
    </row>
    <row r="119" spans="1:5" ht="12">
      <c r="A119" s="3"/>
      <c r="B119" s="3"/>
      <c r="C119" s="10"/>
      <c r="D119" s="3"/>
      <c r="E119" s="3"/>
    </row>
    <row r="120" spans="1:5" ht="12">
      <c r="A120" s="3"/>
      <c r="B120" s="3"/>
      <c r="C120" s="10"/>
      <c r="D120" s="3"/>
      <c r="E120" s="3"/>
    </row>
    <row r="121" spans="1:5" ht="12">
      <c r="A121" s="3"/>
      <c r="B121" s="3"/>
      <c r="C121" s="10"/>
      <c r="D121" s="3"/>
      <c r="E121" s="3"/>
    </row>
    <row r="122" spans="1:5" ht="12">
      <c r="A122" s="3"/>
      <c r="B122" s="3"/>
      <c r="C122" s="10"/>
      <c r="D122" s="3"/>
      <c r="E122" s="3"/>
    </row>
    <row r="123" spans="1:5" ht="12">
      <c r="A123" s="3"/>
      <c r="B123" s="3"/>
      <c r="C123" s="10"/>
      <c r="D123" s="3"/>
      <c r="E123" s="3"/>
    </row>
    <row r="124" spans="1:5" ht="12">
      <c r="A124" s="3"/>
      <c r="B124" s="3"/>
      <c r="C124" s="10"/>
      <c r="D124" s="3"/>
      <c r="E124" s="3"/>
    </row>
    <row r="125" spans="1:5" ht="12">
      <c r="A125" s="3"/>
      <c r="B125" s="3"/>
      <c r="C125" s="10"/>
      <c r="D125" s="3"/>
      <c r="E125" s="3"/>
    </row>
    <row r="126" spans="1:5" ht="12">
      <c r="A126" s="3"/>
      <c r="B126" s="3"/>
      <c r="C126" s="10"/>
      <c r="D126" s="3"/>
      <c r="E126" s="3"/>
    </row>
    <row r="127" spans="1:5" ht="12">
      <c r="A127" s="3"/>
      <c r="B127" s="3"/>
      <c r="C127" s="10"/>
      <c r="D127" s="3"/>
      <c r="E127" s="3"/>
    </row>
    <row r="128" spans="1:5" ht="12">
      <c r="A128" s="3"/>
      <c r="B128" s="3"/>
      <c r="C128" s="10"/>
      <c r="D128" s="3"/>
      <c r="E128" s="3"/>
    </row>
    <row r="129" spans="1:5" ht="12">
      <c r="A129" s="3"/>
      <c r="B129" s="3"/>
      <c r="C129" s="10"/>
      <c r="D129" s="3"/>
      <c r="E129" s="3"/>
    </row>
    <row r="130" spans="1:5" ht="12">
      <c r="A130" s="3"/>
      <c r="B130" s="3"/>
      <c r="C130" s="10"/>
      <c r="D130" s="3"/>
      <c r="E130" s="3"/>
    </row>
    <row r="131" spans="1:5" ht="12">
      <c r="A131" s="3"/>
      <c r="B131" s="3"/>
      <c r="C131" s="10"/>
      <c r="D131" s="3"/>
      <c r="E131" s="3"/>
    </row>
    <row r="132" spans="1:5" ht="12">
      <c r="A132" s="3"/>
      <c r="B132" s="3"/>
      <c r="C132" s="10"/>
      <c r="D132" s="3"/>
      <c r="E132" s="3"/>
    </row>
    <row r="133" spans="1:5" ht="12">
      <c r="A133" s="3"/>
      <c r="B133" s="3"/>
      <c r="C133" s="10"/>
      <c r="D133" s="3"/>
      <c r="E133" s="3"/>
    </row>
    <row r="134" spans="1:5" ht="12">
      <c r="A134" s="3"/>
      <c r="B134" s="3"/>
      <c r="C134" s="10"/>
      <c r="D134" s="3"/>
      <c r="E134" s="3"/>
    </row>
    <row r="135" spans="1:5" ht="12">
      <c r="A135" s="3"/>
      <c r="B135" s="3"/>
      <c r="C135" s="10"/>
      <c r="D135" s="3"/>
      <c r="E135" s="3"/>
    </row>
    <row r="136" spans="1:5" ht="12">
      <c r="A136" s="3"/>
      <c r="B136" s="3"/>
      <c r="C136" s="10"/>
      <c r="D136" s="3"/>
      <c r="E136" s="3"/>
    </row>
    <row r="137" spans="1:5" ht="12">
      <c r="A137" s="3"/>
      <c r="B137" s="3"/>
      <c r="C137" s="10"/>
      <c r="D137" s="3"/>
      <c r="E137" s="3"/>
    </row>
    <row r="138" spans="1:5" ht="12">
      <c r="A138" s="3"/>
      <c r="B138" s="3"/>
      <c r="C138" s="10"/>
      <c r="D138" s="3"/>
      <c r="E138" s="3"/>
    </row>
    <row r="139" spans="1:5" ht="12">
      <c r="A139" s="3"/>
      <c r="B139" s="3"/>
      <c r="C139" s="10"/>
      <c r="D139" s="3"/>
      <c r="E139" s="3"/>
    </row>
    <row r="140" spans="1:5" ht="12">
      <c r="A140" s="3"/>
      <c r="B140" s="3"/>
      <c r="C140" s="10"/>
      <c r="D140" s="3"/>
      <c r="E140" s="3"/>
    </row>
    <row r="141" spans="1:5" ht="12">
      <c r="A141" s="3"/>
      <c r="B141" s="3"/>
      <c r="C141" s="10"/>
      <c r="D141" s="3"/>
      <c r="E141" s="3"/>
    </row>
    <row r="142" spans="1:5" ht="12">
      <c r="A142" s="3"/>
      <c r="B142" s="3"/>
      <c r="C142" s="10"/>
      <c r="D142" s="3"/>
      <c r="E142" s="3"/>
    </row>
    <row r="143" spans="1:5" ht="12">
      <c r="A143" s="3"/>
      <c r="B143" s="3"/>
      <c r="C143" s="10"/>
      <c r="D143" s="3"/>
      <c r="E143" s="3"/>
    </row>
    <row r="144" spans="1:5" ht="12">
      <c r="A144" s="3"/>
      <c r="B144" s="3"/>
      <c r="C144" s="10"/>
      <c r="D144" s="3"/>
      <c r="E144" s="3"/>
    </row>
    <row r="145" spans="1:5" ht="12">
      <c r="A145" s="3"/>
      <c r="B145" s="3"/>
      <c r="C145" s="10"/>
      <c r="D145" s="3"/>
      <c r="E145" s="3"/>
    </row>
    <row r="146" spans="1:5" ht="12">
      <c r="A146" s="3"/>
      <c r="B146" s="3"/>
      <c r="C146" s="10"/>
      <c r="D146" s="3"/>
      <c r="E146" s="3"/>
    </row>
    <row r="147" spans="1:5" ht="12">
      <c r="A147" s="3"/>
      <c r="B147" s="3"/>
      <c r="C147" s="10"/>
      <c r="D147" s="3"/>
      <c r="E147" s="3"/>
    </row>
    <row r="148" spans="1:5" ht="12">
      <c r="A148" s="3"/>
      <c r="B148" s="3"/>
      <c r="C148" s="10"/>
      <c r="D148" s="3"/>
      <c r="E148" s="3"/>
    </row>
    <row r="149" spans="1:5" ht="12">
      <c r="A149" s="3"/>
      <c r="B149" s="3"/>
      <c r="C149" s="10"/>
      <c r="D149" s="3"/>
      <c r="E149" s="3"/>
    </row>
    <row r="150" spans="1:5" ht="12">
      <c r="A150" s="3"/>
      <c r="B150" s="3"/>
      <c r="C150" s="10"/>
      <c r="D150" s="3"/>
      <c r="E150" s="3"/>
    </row>
    <row r="151" spans="1:5" ht="12">
      <c r="A151" s="3"/>
      <c r="B151" s="3"/>
      <c r="C151" s="10"/>
      <c r="D151" s="3"/>
      <c r="E151" s="3"/>
    </row>
    <row r="152" spans="1:5" ht="12">
      <c r="A152" s="3"/>
      <c r="B152" s="3"/>
      <c r="C152" s="10"/>
      <c r="D152" s="3"/>
      <c r="E152" s="3"/>
    </row>
    <row r="153" spans="1:5" ht="12">
      <c r="A153" s="3"/>
      <c r="B153" s="3"/>
      <c r="C153" s="10"/>
      <c r="D153" s="3"/>
      <c r="E153" s="3"/>
    </row>
    <row r="154" spans="1:5" ht="12">
      <c r="A154" s="3"/>
      <c r="B154" s="3"/>
      <c r="C154" s="10"/>
      <c r="D154" s="3"/>
      <c r="E154" s="3"/>
    </row>
    <row r="155" spans="1:5" ht="12">
      <c r="A155" s="3"/>
      <c r="B155" s="3"/>
      <c r="C155" s="10"/>
      <c r="D155" s="3"/>
      <c r="E155" s="3"/>
    </row>
    <row r="156" spans="1:5" ht="12">
      <c r="A156" s="3"/>
      <c r="B156" s="3"/>
      <c r="C156" s="10"/>
      <c r="D156" s="3"/>
      <c r="E156" s="3"/>
    </row>
    <row r="157" spans="1:5" ht="12">
      <c r="A157" s="3"/>
      <c r="B157" s="3"/>
      <c r="C157" s="10"/>
      <c r="D157" s="3"/>
      <c r="E157" s="3"/>
    </row>
    <row r="158" spans="1:5" ht="12">
      <c r="A158" s="3"/>
      <c r="B158" s="3"/>
      <c r="C158" s="10"/>
      <c r="D158" s="3"/>
      <c r="E158" s="3"/>
    </row>
    <row r="159" spans="1:5" ht="12">
      <c r="A159" s="3"/>
      <c r="B159" s="3"/>
      <c r="C159" s="10"/>
      <c r="D159" s="3"/>
      <c r="E159" s="3"/>
    </row>
    <row r="160" spans="1:5" ht="12">
      <c r="A160" s="3"/>
      <c r="B160" s="3"/>
      <c r="C160" s="10"/>
      <c r="D160" s="3"/>
      <c r="E160" s="3"/>
    </row>
    <row r="161" spans="1:5" ht="12">
      <c r="A161" s="3"/>
      <c r="B161" s="3"/>
      <c r="C161" s="10"/>
      <c r="D161" s="3"/>
      <c r="E161" s="3"/>
    </row>
    <row r="162" spans="1:5" ht="12">
      <c r="A162" s="3"/>
      <c r="B162" s="3"/>
      <c r="C162" s="10"/>
      <c r="D162" s="3"/>
      <c r="E162" s="3"/>
    </row>
    <row r="163" spans="1:5" ht="12">
      <c r="A163" s="3"/>
      <c r="B163" s="3"/>
      <c r="C163" s="10"/>
      <c r="D163" s="3"/>
      <c r="E163" s="3"/>
    </row>
    <row r="164" spans="1:5" ht="12">
      <c r="A164" s="3"/>
      <c r="B164" s="3"/>
      <c r="C164" s="10"/>
      <c r="D164" s="3"/>
      <c r="E164" s="3"/>
    </row>
    <row r="165" spans="1:5" ht="12">
      <c r="A165" s="3"/>
      <c r="B165" s="3"/>
      <c r="C165" s="10"/>
      <c r="D165" s="3"/>
      <c r="E165" s="3"/>
    </row>
    <row r="166" spans="1:5" ht="12">
      <c r="A166" s="3"/>
      <c r="B166" s="3"/>
      <c r="C166" s="10"/>
      <c r="D166" s="3"/>
      <c r="E166" s="3"/>
    </row>
    <row r="167" spans="1:5" ht="12">
      <c r="A167" s="3"/>
      <c r="B167" s="3"/>
      <c r="C167" s="10"/>
      <c r="D167" s="3"/>
      <c r="E167" s="3"/>
    </row>
    <row r="168" spans="1:5" ht="12">
      <c r="A168" s="3"/>
      <c r="B168" s="3"/>
      <c r="C168" s="10"/>
      <c r="D168" s="3"/>
      <c r="E168" s="3"/>
    </row>
    <row r="169" spans="1:5" ht="12">
      <c r="A169" s="3"/>
      <c r="B169" s="3"/>
      <c r="C169" s="10"/>
      <c r="D169" s="3"/>
      <c r="E169" s="3"/>
    </row>
    <row r="170" spans="1:5" ht="12">
      <c r="A170" s="3"/>
      <c r="B170" s="3"/>
      <c r="C170" s="10"/>
      <c r="D170" s="3"/>
      <c r="E170" s="3"/>
    </row>
    <row r="171" spans="1:5" ht="12">
      <c r="A171" s="3"/>
      <c r="B171" s="3"/>
      <c r="C171" s="10"/>
      <c r="D171" s="3"/>
      <c r="E171" s="3"/>
    </row>
    <row r="172" spans="1:5" ht="12">
      <c r="A172" s="3"/>
      <c r="B172" s="3"/>
      <c r="C172" s="10"/>
      <c r="D172" s="3"/>
      <c r="E172" s="3"/>
    </row>
    <row r="173" spans="1:5" ht="12">
      <c r="A173" s="3"/>
      <c r="B173" s="3"/>
      <c r="C173" s="10"/>
      <c r="D173" s="3"/>
      <c r="E173" s="3"/>
    </row>
    <row r="174" spans="1:5" ht="12">
      <c r="A174" s="3"/>
      <c r="B174" s="3"/>
      <c r="C174" s="10"/>
      <c r="D174" s="3"/>
      <c r="E174" s="3"/>
    </row>
    <row r="175" spans="1:5" ht="12">
      <c r="A175" s="3"/>
      <c r="B175" s="3"/>
      <c r="C175" s="10"/>
      <c r="D175" s="3"/>
      <c r="E175" s="3"/>
    </row>
    <row r="176" spans="1:5" ht="12">
      <c r="A176" s="3"/>
      <c r="B176" s="3"/>
      <c r="C176" s="10"/>
      <c r="D176" s="3"/>
      <c r="E176" s="3"/>
    </row>
    <row r="177" spans="1:5" ht="12">
      <c r="A177" s="3"/>
      <c r="B177" s="3"/>
      <c r="C177" s="10"/>
      <c r="D177" s="3"/>
      <c r="E177" s="3"/>
    </row>
    <row r="178" spans="1:5" ht="12">
      <c r="A178" s="3"/>
      <c r="B178" s="3"/>
      <c r="C178" s="10"/>
      <c r="D178" s="3"/>
      <c r="E178" s="3"/>
    </row>
    <row r="179" spans="1:5" ht="12">
      <c r="A179" s="3"/>
      <c r="B179" s="3"/>
      <c r="C179" s="10"/>
      <c r="D179" s="3"/>
      <c r="E179" s="3"/>
    </row>
    <row r="180" spans="1:5" ht="12">
      <c r="A180" s="3"/>
      <c r="B180" s="3"/>
      <c r="C180" s="10"/>
      <c r="D180" s="3"/>
      <c r="E180" s="3"/>
    </row>
    <row r="181" spans="1:5" ht="12">
      <c r="A181" s="3"/>
      <c r="B181" s="3"/>
      <c r="C181" s="10"/>
      <c r="D181" s="3"/>
      <c r="E181" s="3"/>
    </row>
    <row r="182" spans="1:5" ht="12">
      <c r="A182" s="3"/>
      <c r="B182" s="3"/>
      <c r="C182" s="10"/>
      <c r="D182" s="3"/>
      <c r="E182" s="3"/>
    </row>
    <row r="183" spans="1:5" ht="12">
      <c r="A183" s="3"/>
      <c r="B183" s="3"/>
      <c r="C183" s="10"/>
      <c r="D183" s="3"/>
      <c r="E183" s="3"/>
    </row>
    <row r="184" spans="1:5" ht="12">
      <c r="A184" s="3"/>
      <c r="B184" s="3"/>
      <c r="C184" s="10"/>
      <c r="D184" s="3"/>
      <c r="E184" s="3"/>
    </row>
    <row r="185" spans="1:5" ht="12">
      <c r="A185" s="3"/>
      <c r="B185" s="3"/>
      <c r="C185" s="10"/>
      <c r="D185" s="3"/>
      <c r="E185" s="3"/>
    </row>
    <row r="186" spans="1:5" ht="12">
      <c r="A186" s="3"/>
      <c r="B186" s="3"/>
      <c r="C186" s="10"/>
      <c r="D186" s="3"/>
      <c r="E186" s="3"/>
    </row>
    <row r="187" spans="1:5" ht="12">
      <c r="A187" s="3"/>
      <c r="B187" s="3"/>
      <c r="C187" s="10"/>
      <c r="D187" s="3"/>
      <c r="E187" s="3"/>
    </row>
    <row r="188" spans="1:5" ht="12">
      <c r="A188" s="3"/>
      <c r="B188" s="3"/>
      <c r="C188" s="10"/>
      <c r="D188" s="3"/>
      <c r="E188" s="3"/>
    </row>
    <row r="189" spans="1:5" ht="12">
      <c r="A189" s="3"/>
      <c r="B189" s="3"/>
      <c r="C189" s="10"/>
      <c r="D189" s="3"/>
      <c r="E189" s="3"/>
    </row>
    <row r="190" spans="1:5" ht="12">
      <c r="A190" s="3"/>
      <c r="B190" s="3"/>
      <c r="C190" s="10"/>
      <c r="D190" s="3"/>
      <c r="E190" s="3"/>
    </row>
    <row r="191" spans="1:5" ht="12">
      <c r="A191" s="3"/>
      <c r="B191" s="3"/>
      <c r="C191" s="10"/>
      <c r="D191" s="3"/>
      <c r="E191" s="3"/>
    </row>
    <row r="192" spans="1:5" ht="12">
      <c r="A192" s="3"/>
      <c r="B192" s="3"/>
      <c r="C192" s="10"/>
      <c r="D192" s="3"/>
      <c r="E192" s="3"/>
    </row>
    <row r="193" spans="1:5" ht="12">
      <c r="A193" s="3"/>
      <c r="B193" s="3"/>
      <c r="C193" s="10"/>
      <c r="D193" s="3"/>
      <c r="E193" s="3"/>
    </row>
    <row r="194" spans="1:5" ht="12">
      <c r="A194" s="3"/>
      <c r="B194" s="3"/>
      <c r="C194" s="10"/>
      <c r="D194" s="3"/>
      <c r="E194" s="3"/>
    </row>
    <row r="195" spans="1:5" ht="12">
      <c r="A195" s="3"/>
      <c r="B195" s="3"/>
      <c r="C195" s="10"/>
      <c r="D195" s="3"/>
      <c r="E195" s="3"/>
    </row>
    <row r="196" spans="1:5" ht="12">
      <c r="A196" s="3"/>
      <c r="B196" s="3"/>
      <c r="C196" s="10"/>
      <c r="D196" s="3"/>
      <c r="E196" s="3"/>
    </row>
    <row r="197" spans="1:5" ht="12">
      <c r="A197" s="3"/>
      <c r="B197" s="3"/>
      <c r="C197" s="10"/>
      <c r="D197" s="3"/>
      <c r="E197" s="3"/>
    </row>
    <row r="198" spans="1:5" ht="12">
      <c r="A198" s="3"/>
      <c r="B198" s="3"/>
      <c r="C198" s="10"/>
      <c r="D198" s="3"/>
      <c r="E198" s="3"/>
    </row>
    <row r="199" spans="1:5" ht="12">
      <c r="A199" s="3"/>
      <c r="B199" s="3"/>
      <c r="C199" s="10"/>
      <c r="D199" s="3"/>
      <c r="E199" s="3"/>
    </row>
  </sheetData>
  <sheetProtection selectLockedCells="1" selectUnlockedCells="1"/>
  <mergeCells count="17">
    <mergeCell ref="A50:D50"/>
    <mergeCell ref="A51:D51"/>
    <mergeCell ref="A60:F60"/>
    <mergeCell ref="A61:F61"/>
    <mergeCell ref="A62:F62"/>
    <mergeCell ref="A21:F21"/>
    <mergeCell ref="A22:F22"/>
    <mergeCell ref="A35:D35"/>
    <mergeCell ref="A36:D36"/>
    <mergeCell ref="A37:D37"/>
    <mergeCell ref="A49:D49"/>
    <mergeCell ref="A1:F1"/>
    <mergeCell ref="A2:F2"/>
    <mergeCell ref="A3:F3"/>
    <mergeCell ref="C5:D5"/>
    <mergeCell ref="A15:F15"/>
    <mergeCell ref="A20:F20"/>
  </mergeCells>
  <printOptions/>
  <pageMargins left="0.7" right="0.7" top="1.25" bottom="0.75" header="0.5118055555555555" footer="0.5118055555555555"/>
  <pageSetup horizontalDpi="300" verticalDpi="300" orientation="landscape" scale="3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AC198"/>
  <sheetViews>
    <sheetView zoomScale="65" zoomScaleNormal="65" zoomScaleSheetLayoutView="65" workbookViewId="0" topLeftCell="A1">
      <selection activeCell="D33" activeCellId="1" sqref="N57:N58 D33"/>
    </sheetView>
  </sheetViews>
  <sheetFormatPr defaultColWidth="9.140625" defaultRowHeight="12.75"/>
  <cols>
    <col min="1" max="1" width="30.7109375" style="1" customWidth="1"/>
    <col min="2" max="2" width="14.00390625" style="1" customWidth="1"/>
    <col min="3" max="3" width="14.00390625" style="2" customWidth="1"/>
    <col min="4" max="5" width="14.00390625" style="1" customWidth="1"/>
    <col min="6" max="6" width="13.421875" style="3" customWidth="1"/>
    <col min="7" max="7" width="12.421875" style="3" customWidth="1"/>
    <col min="8" max="27" width="9.140625" style="4" customWidth="1"/>
  </cols>
  <sheetData>
    <row r="1" spans="1:22" ht="21" customHeight="1">
      <c r="A1" s="263" t="s">
        <v>0</v>
      </c>
      <c r="B1" s="263"/>
      <c r="C1" s="263"/>
      <c r="D1" s="263"/>
      <c r="E1" s="263"/>
      <c r="F1" s="26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264" t="s">
        <v>46</v>
      </c>
      <c r="B2" s="264"/>
      <c r="C2" s="264"/>
      <c r="D2" s="264"/>
      <c r="E2" s="264"/>
      <c r="F2" s="26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6" ht="18.75" customHeight="1">
      <c r="A3" s="265" t="s">
        <v>2</v>
      </c>
      <c r="B3" s="265"/>
      <c r="C3" s="265"/>
      <c r="D3" s="265"/>
      <c r="E3" s="265"/>
      <c r="F3" s="265"/>
    </row>
    <row r="4" spans="1:6" ht="12.75">
      <c r="A4" s="62"/>
      <c r="B4" s="62"/>
      <c r="C4" s="63"/>
      <c r="D4" s="62"/>
      <c r="E4" s="62"/>
      <c r="F4" s="62"/>
    </row>
    <row r="5" spans="1:6" ht="12.75" customHeight="1">
      <c r="A5" s="62"/>
      <c r="B5" s="62"/>
      <c r="C5" s="266" t="s">
        <v>3</v>
      </c>
      <c r="D5" s="266"/>
      <c r="E5" s="64"/>
      <c r="F5" s="62"/>
    </row>
    <row r="6" spans="1:6" ht="12.75">
      <c r="A6" s="65" t="s">
        <v>4</v>
      </c>
      <c r="B6" s="66" t="s">
        <v>45</v>
      </c>
      <c r="C6" s="67" t="s">
        <v>6</v>
      </c>
      <c r="D6" s="68" t="s">
        <v>7</v>
      </c>
      <c r="E6" s="69" t="s">
        <v>8</v>
      </c>
      <c r="F6" s="70" t="s">
        <v>9</v>
      </c>
    </row>
    <row r="7" spans="1:6" ht="18">
      <c r="A7" s="71" t="s">
        <v>10</v>
      </c>
      <c r="B7" s="72">
        <v>360</v>
      </c>
      <c r="C7" s="72">
        <v>261</v>
      </c>
      <c r="D7" s="72">
        <v>90</v>
      </c>
      <c r="E7" s="72">
        <v>9</v>
      </c>
      <c r="F7" s="73">
        <f>(D7+E7)/B7</f>
        <v>0.275</v>
      </c>
    </row>
    <row r="8" spans="1:6" ht="18">
      <c r="A8" s="71" t="s">
        <v>11</v>
      </c>
      <c r="B8" s="72">
        <v>310</v>
      </c>
      <c r="C8" s="72">
        <v>152</v>
      </c>
      <c r="D8" s="72">
        <v>139</v>
      </c>
      <c r="E8" s="72">
        <v>19</v>
      </c>
      <c r="F8" s="73">
        <f>(D8+E8)/B8</f>
        <v>0.5096774193548387</v>
      </c>
    </row>
    <row r="9" spans="1:6" ht="18">
      <c r="A9" s="71" t="s">
        <v>12</v>
      </c>
      <c r="B9" s="72">
        <v>263</v>
      </c>
      <c r="C9" s="72">
        <v>145</v>
      </c>
      <c r="D9" s="72">
        <v>96</v>
      </c>
      <c r="E9" s="72">
        <v>22</v>
      </c>
      <c r="F9" s="73">
        <f>(D9+E9)/B9</f>
        <v>0.44866920152091255</v>
      </c>
    </row>
    <row r="10" spans="1:6" ht="18">
      <c r="A10" s="71" t="s">
        <v>13</v>
      </c>
      <c r="B10" s="72">
        <v>264</v>
      </c>
      <c r="C10" s="72">
        <v>160</v>
      </c>
      <c r="D10" s="72">
        <v>99</v>
      </c>
      <c r="E10" s="72">
        <v>5</v>
      </c>
      <c r="F10" s="73">
        <f>(D10+E10)/B10</f>
        <v>0.3939393939393939</v>
      </c>
    </row>
    <row r="11" spans="1:6" ht="18">
      <c r="A11" s="71" t="s">
        <v>14</v>
      </c>
      <c r="B11" s="72">
        <v>2205</v>
      </c>
      <c r="C11" s="72">
        <v>1706</v>
      </c>
      <c r="D11" s="72">
        <v>496</v>
      </c>
      <c r="E11" s="72">
        <v>8</v>
      </c>
      <c r="F11" s="73">
        <f>(D11+E11)/B11</f>
        <v>0.22857142857142856</v>
      </c>
    </row>
    <row r="12" spans="1:7" ht="11.25" customHeight="1" hidden="1">
      <c r="A12" s="74" t="s">
        <v>15</v>
      </c>
      <c r="B12" s="72"/>
      <c r="C12" s="72"/>
      <c r="D12" s="72"/>
      <c r="E12" s="72"/>
      <c r="F12" s="73">
        <v>0</v>
      </c>
      <c r="G12" s="20"/>
    </row>
    <row r="13" spans="1:6" ht="18">
      <c r="A13" s="65" t="s">
        <v>16</v>
      </c>
      <c r="B13" s="75">
        <f>SUM(B7:B12)</f>
        <v>3402</v>
      </c>
      <c r="C13" s="75">
        <f>SUM(C7:C12)</f>
        <v>2424</v>
      </c>
      <c r="D13" s="75">
        <f>SUM(D7:D12)</f>
        <v>920</v>
      </c>
      <c r="E13" s="75">
        <f>SUM(E7:E12)</f>
        <v>63</v>
      </c>
      <c r="F13" s="76">
        <f>(+D13+E13)/B13</f>
        <v>0.2889476778365667</v>
      </c>
    </row>
    <row r="14" spans="1:6" ht="12">
      <c r="A14" s="23"/>
      <c r="B14" s="4"/>
      <c r="C14" s="4"/>
      <c r="D14" s="4"/>
      <c r="E14" s="4"/>
      <c r="F14" s="4"/>
    </row>
    <row r="15" spans="1:6" ht="12.75" customHeight="1">
      <c r="A15" s="23"/>
      <c r="B15" s="24"/>
      <c r="C15" s="24"/>
      <c r="D15" s="24"/>
      <c r="E15" s="25"/>
      <c r="F15" s="26"/>
    </row>
    <row r="16" spans="1:6" ht="12">
      <c r="A16" s="26"/>
      <c r="B16" s="26"/>
      <c r="C16" s="26"/>
      <c r="D16" s="26"/>
      <c r="E16" s="26"/>
      <c r="F16" s="26"/>
    </row>
    <row r="17" spans="1:6" ht="25.5" customHeight="1">
      <c r="A17" s="26"/>
      <c r="B17" s="26"/>
      <c r="C17" s="26"/>
      <c r="D17" s="26"/>
      <c r="E17" s="26"/>
      <c r="F17" s="26"/>
    </row>
    <row r="18" spans="1:6" ht="25.5" customHeight="1">
      <c r="A18" s="26"/>
      <c r="B18" s="26"/>
      <c r="C18" s="26"/>
      <c r="D18" s="26"/>
      <c r="E18" s="26"/>
      <c r="F18" s="26"/>
    </row>
    <row r="19" spans="1:22" ht="21" customHeight="1">
      <c r="A19" s="263" t="s">
        <v>0</v>
      </c>
      <c r="B19" s="263"/>
      <c r="C19" s="263"/>
      <c r="D19" s="263"/>
      <c r="E19" s="263"/>
      <c r="F19" s="263"/>
      <c r="G19" s="2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.75" customHeight="1">
      <c r="A20" s="263" t="s">
        <v>46</v>
      </c>
      <c r="B20" s="263"/>
      <c r="C20" s="263"/>
      <c r="D20" s="263"/>
      <c r="E20" s="263"/>
      <c r="F20" s="263"/>
      <c r="G20" s="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7" ht="27.75" customHeight="1">
      <c r="A21" s="265" t="s">
        <v>17</v>
      </c>
      <c r="B21" s="265"/>
      <c r="C21" s="265"/>
      <c r="D21" s="265"/>
      <c r="E21" s="265"/>
      <c r="F21" s="265"/>
      <c r="G21" s="28"/>
    </row>
    <row r="22" spans="1:7" s="4" customFormat="1" ht="12.75">
      <c r="A22" s="62"/>
      <c r="B22" s="62"/>
      <c r="C22" s="63"/>
      <c r="D22" s="62"/>
      <c r="E22" s="62"/>
      <c r="F22" s="62"/>
      <c r="G22" s="3"/>
    </row>
    <row r="23" spans="1:6" s="4" customFormat="1" ht="12.75">
      <c r="A23" s="65" t="s">
        <v>18</v>
      </c>
      <c r="B23" s="66">
        <f>+387+303+9</f>
        <v>699</v>
      </c>
      <c r="C23" s="77">
        <f>+80+30+10</f>
        <v>120</v>
      </c>
      <c r="D23" s="78">
        <v>2391</v>
      </c>
      <c r="E23" s="65">
        <f>+65+17+0</f>
        <v>82</v>
      </c>
      <c r="F23" s="65">
        <f>+77+43</f>
        <v>120</v>
      </c>
    </row>
    <row r="24" spans="1:29" ht="12.75">
      <c r="A24" s="65" t="s">
        <v>4</v>
      </c>
      <c r="B24" s="79" t="s">
        <v>19</v>
      </c>
      <c r="C24" s="80" t="s">
        <v>20</v>
      </c>
      <c r="D24" s="81" t="s">
        <v>21</v>
      </c>
      <c r="E24" s="70" t="s">
        <v>22</v>
      </c>
      <c r="F24" s="82" t="s">
        <v>43</v>
      </c>
      <c r="AB24" s="4"/>
      <c r="AC24" s="4"/>
    </row>
    <row r="25" spans="1:29" ht="18">
      <c r="A25" s="83" t="s">
        <v>10</v>
      </c>
      <c r="B25" s="84">
        <v>125</v>
      </c>
      <c r="C25" s="84">
        <v>29</v>
      </c>
      <c r="D25" s="84">
        <v>31</v>
      </c>
      <c r="E25" s="84">
        <v>64</v>
      </c>
      <c r="F25" s="84">
        <v>12</v>
      </c>
      <c r="AB25" s="4"/>
      <c r="AC25" s="4"/>
    </row>
    <row r="26" spans="1:29" ht="18">
      <c r="A26" s="83" t="s">
        <v>11</v>
      </c>
      <c r="B26" s="84">
        <v>123</v>
      </c>
      <c r="C26" s="84">
        <v>2</v>
      </c>
      <c r="D26" s="84">
        <v>14</v>
      </c>
      <c r="E26" s="84">
        <v>0</v>
      </c>
      <c r="F26" s="84">
        <v>13</v>
      </c>
      <c r="AB26" s="4"/>
      <c r="AC26" s="4"/>
    </row>
    <row r="27" spans="1:29" ht="18">
      <c r="A27" s="71" t="s">
        <v>24</v>
      </c>
      <c r="B27" s="84">
        <v>82</v>
      </c>
      <c r="C27" s="84">
        <v>17</v>
      </c>
      <c r="D27" s="84">
        <v>37</v>
      </c>
      <c r="E27" s="84">
        <v>1</v>
      </c>
      <c r="F27" s="84">
        <v>8</v>
      </c>
      <c r="AB27" s="4"/>
      <c r="AC27" s="4"/>
    </row>
    <row r="28" spans="1:29" ht="18">
      <c r="A28" s="71" t="s">
        <v>13</v>
      </c>
      <c r="B28" s="84">
        <v>36</v>
      </c>
      <c r="C28" s="84">
        <v>30</v>
      </c>
      <c r="D28" s="84">
        <v>50</v>
      </c>
      <c r="E28" s="84">
        <v>0</v>
      </c>
      <c r="F28" s="84">
        <v>44</v>
      </c>
      <c r="AB28" s="4"/>
      <c r="AC28" s="4"/>
    </row>
    <row r="29" spans="1:29" ht="18">
      <c r="A29" s="71" t="s">
        <v>14</v>
      </c>
      <c r="B29" s="84">
        <v>21</v>
      </c>
      <c r="C29" s="84">
        <v>2</v>
      </c>
      <c r="D29" s="84">
        <v>1683</v>
      </c>
      <c r="E29" s="84">
        <v>0</v>
      </c>
      <c r="F29" s="84">
        <v>0</v>
      </c>
      <c r="AB29" s="4"/>
      <c r="AC29" s="4"/>
    </row>
    <row r="30" spans="1:29" ht="18" hidden="1">
      <c r="A30" s="74" t="s">
        <v>15</v>
      </c>
      <c r="B30" s="84"/>
      <c r="C30" s="84"/>
      <c r="D30" s="84"/>
      <c r="E30" s="84"/>
      <c r="F30" s="84"/>
      <c r="AB30" s="4"/>
      <c r="AC30" s="4"/>
    </row>
    <row r="31" spans="1:29" ht="18">
      <c r="A31" s="65" t="s">
        <v>16</v>
      </c>
      <c r="B31" s="85">
        <f>SUM(B25:B30)</f>
        <v>387</v>
      </c>
      <c r="C31" s="85">
        <f>SUM(C25:C30)</f>
        <v>80</v>
      </c>
      <c r="D31" s="85">
        <f>SUM(D25:D30)</f>
        <v>1815</v>
      </c>
      <c r="E31" s="85">
        <f>SUM(E25:E30)</f>
        <v>65</v>
      </c>
      <c r="F31" s="85">
        <f>SUM(F25:F30)</f>
        <v>77</v>
      </c>
      <c r="AB31" s="4"/>
      <c r="AC31" s="4"/>
    </row>
    <row r="32" spans="1:29" ht="18">
      <c r="A32" s="77" t="s">
        <v>25</v>
      </c>
      <c r="B32" s="86">
        <f>+B31/C13</f>
        <v>0.15965346534653466</v>
      </c>
      <c r="C32" s="86">
        <f>+C31/C13</f>
        <v>0.033003300330033</v>
      </c>
      <c r="D32" s="86">
        <f>+D31/C13</f>
        <v>0.7487623762376238</v>
      </c>
      <c r="E32" s="86">
        <f>+E31/C13</f>
        <v>0.026815181518151814</v>
      </c>
      <c r="F32" s="86">
        <f>+F31/C13</f>
        <v>0.03176567656765677</v>
      </c>
      <c r="AB32" s="4"/>
      <c r="AC32" s="4"/>
    </row>
    <row r="33" spans="1:7" s="4" customFormat="1" ht="108" customHeight="1">
      <c r="A33" s="39"/>
      <c r="B33" s="40"/>
      <c r="C33" s="41"/>
      <c r="D33" s="42"/>
      <c r="E33" s="42"/>
      <c r="F33" s="3"/>
      <c r="G33" s="3"/>
    </row>
    <row r="34" spans="1:5" ht="21" customHeight="1">
      <c r="A34" s="256" t="s">
        <v>0</v>
      </c>
      <c r="B34" s="256"/>
      <c r="C34" s="256"/>
      <c r="D34" s="256"/>
      <c r="E34" s="5"/>
    </row>
    <row r="35" spans="1:5" ht="18" customHeight="1">
      <c r="A35" s="261" t="s">
        <v>46</v>
      </c>
      <c r="B35" s="261"/>
      <c r="C35" s="261"/>
      <c r="D35" s="261"/>
      <c r="E35" s="43"/>
    </row>
    <row r="36" spans="1:5" ht="18.75" customHeight="1">
      <c r="A36" s="258" t="s">
        <v>26</v>
      </c>
      <c r="B36" s="258"/>
      <c r="C36" s="258"/>
      <c r="D36" s="258"/>
      <c r="E36" s="9"/>
    </row>
    <row r="37" spans="1:5" ht="18" customHeight="1">
      <c r="A37" s="12" t="s">
        <v>4</v>
      </c>
      <c r="B37" s="31" t="s">
        <v>27</v>
      </c>
      <c r="C37" s="44" t="s">
        <v>28</v>
      </c>
      <c r="D37" s="29" t="s">
        <v>29</v>
      </c>
      <c r="E37" s="29"/>
    </row>
    <row r="38" spans="1:5" ht="16.5">
      <c r="A38" s="26" t="s">
        <v>10</v>
      </c>
      <c r="B38" s="45">
        <v>180</v>
      </c>
      <c r="C38" s="45">
        <v>240</v>
      </c>
      <c r="D38" s="46">
        <f aca="true" t="shared" si="0" ref="D38:D43">+C38+B38</f>
        <v>420</v>
      </c>
      <c r="E38" s="47"/>
    </row>
    <row r="39" spans="1:5" ht="16.5">
      <c r="A39" s="26" t="s">
        <v>11</v>
      </c>
      <c r="B39" s="45">
        <v>175</v>
      </c>
      <c r="C39" s="45">
        <v>240</v>
      </c>
      <c r="D39" s="46">
        <f t="shared" si="0"/>
        <v>415</v>
      </c>
      <c r="E39" s="47"/>
    </row>
    <row r="40" spans="1:5" ht="27.75" customHeight="1">
      <c r="A40" s="26" t="s">
        <v>24</v>
      </c>
      <c r="B40" s="45">
        <v>168</v>
      </c>
      <c r="C40" s="45">
        <v>240</v>
      </c>
      <c r="D40" s="46">
        <f t="shared" si="0"/>
        <v>408</v>
      </c>
      <c r="E40" s="47"/>
    </row>
    <row r="41" spans="1:5" ht="16.5">
      <c r="A41" s="26" t="s">
        <v>13</v>
      </c>
      <c r="B41" s="45">
        <v>175</v>
      </c>
      <c r="C41" s="45">
        <v>95</v>
      </c>
      <c r="D41" s="46">
        <f t="shared" si="0"/>
        <v>270</v>
      </c>
      <c r="E41" s="47"/>
    </row>
    <row r="42" spans="1:28" s="4" customFormat="1" ht="18.75" customHeight="1">
      <c r="A42" s="26" t="s">
        <v>14</v>
      </c>
      <c r="B42" s="45">
        <v>657</v>
      </c>
      <c r="C42" s="45">
        <v>80</v>
      </c>
      <c r="D42" s="46">
        <f t="shared" si="0"/>
        <v>737</v>
      </c>
      <c r="E42" s="47"/>
      <c r="F42" s="3"/>
      <c r="G42" s="3"/>
      <c r="P42" s="4">
        <f>+C41/C44</f>
        <v>0.10614525139664804</v>
      </c>
      <c r="AB42"/>
    </row>
    <row r="43" spans="1:28" s="4" customFormat="1" ht="18.75" customHeight="1" hidden="1">
      <c r="A43" s="26" t="s">
        <v>15</v>
      </c>
      <c r="B43" s="47"/>
      <c r="C43" s="47"/>
      <c r="D43" s="47">
        <f t="shared" si="0"/>
        <v>0</v>
      </c>
      <c r="E43" s="47"/>
      <c r="F43" s="3"/>
      <c r="G43" s="3"/>
      <c r="P43" s="4">
        <f>+B42/B44</f>
        <v>0.48487084870848707</v>
      </c>
      <c r="AB43"/>
    </row>
    <row r="44" spans="1:5" ht="30" customHeight="1">
      <c r="A44" s="12" t="s">
        <v>30</v>
      </c>
      <c r="B44" s="37">
        <f>SUM(B38:B43)</f>
        <v>1355</v>
      </c>
      <c r="C44" s="37">
        <f>SUM(C38:C43)</f>
        <v>895</v>
      </c>
      <c r="D44" s="37">
        <f>SUM(D38:D43)</f>
        <v>2250</v>
      </c>
      <c r="E44" s="37"/>
    </row>
    <row r="45" spans="1:5" ht="16.5">
      <c r="A45" s="12" t="s">
        <v>31</v>
      </c>
      <c r="B45" s="37">
        <f>+B44/15</f>
        <v>90.33333333333333</v>
      </c>
      <c r="C45" s="37">
        <f>+C44/15</f>
        <v>59.666666666666664</v>
      </c>
      <c r="D45" s="37">
        <f>+D44/15</f>
        <v>150</v>
      </c>
      <c r="E45" s="37"/>
    </row>
    <row r="46" spans="1:5" ht="26.25" customHeight="1">
      <c r="A46" s="29" t="s">
        <v>32</v>
      </c>
      <c r="B46" s="38">
        <f>+B44/D44</f>
        <v>0.6022222222222222</v>
      </c>
      <c r="C46" s="38">
        <f>+C44/D44</f>
        <v>0.3977777777777778</v>
      </c>
      <c r="D46" s="38">
        <v>1</v>
      </c>
      <c r="E46" s="38"/>
    </row>
    <row r="47" spans="1:5" ht="42.75" customHeight="1">
      <c r="A47" s="3"/>
      <c r="B47" s="3"/>
      <c r="C47" s="10"/>
      <c r="D47" s="3"/>
      <c r="E47" s="3"/>
    </row>
    <row r="48" spans="1:5" ht="18.75" customHeight="1">
      <c r="A48" s="262" t="s">
        <v>0</v>
      </c>
      <c r="B48" s="262"/>
      <c r="C48" s="262"/>
      <c r="D48" s="262"/>
      <c r="E48" s="48"/>
    </row>
    <row r="49" spans="1:5" ht="18.75" customHeight="1">
      <c r="A49" s="257" t="s">
        <v>46</v>
      </c>
      <c r="B49" s="257"/>
      <c r="C49" s="257"/>
      <c r="D49" s="257"/>
      <c r="E49" s="7"/>
    </row>
    <row r="50" spans="1:5" ht="18.75" customHeight="1">
      <c r="A50" s="258" t="s">
        <v>33</v>
      </c>
      <c r="B50" s="258"/>
      <c r="C50" s="258"/>
      <c r="D50" s="258"/>
      <c r="E50" s="9"/>
    </row>
    <row r="51" spans="1:5" ht="24">
      <c r="A51" s="12" t="s">
        <v>4</v>
      </c>
      <c r="B51" s="12" t="s">
        <v>34</v>
      </c>
      <c r="C51" s="14" t="s">
        <v>35</v>
      </c>
      <c r="D51" s="12" t="s">
        <v>29</v>
      </c>
      <c r="E51" s="12"/>
    </row>
    <row r="52" spans="1:5" ht="16.5">
      <c r="A52" s="39" t="s">
        <v>10</v>
      </c>
      <c r="B52" s="49">
        <f>+B38/D38</f>
        <v>0.42857142857142855</v>
      </c>
      <c r="C52" s="49">
        <f>+C38/D38</f>
        <v>0.5714285714285714</v>
      </c>
      <c r="D52" s="49">
        <f>SUM(B52:C52)</f>
        <v>1</v>
      </c>
      <c r="E52" s="50"/>
    </row>
    <row r="53" spans="1:5" ht="16.5">
      <c r="A53" s="39" t="s">
        <v>11</v>
      </c>
      <c r="B53" s="49">
        <f>+B39/D39</f>
        <v>0.42168674698795183</v>
      </c>
      <c r="C53" s="49">
        <f>+C39/D39</f>
        <v>0.5783132530120482</v>
      </c>
      <c r="D53" s="49">
        <f>SUM(B53:C53)</f>
        <v>1</v>
      </c>
      <c r="E53" s="50"/>
    </row>
    <row r="54" spans="1:5" ht="32.25" customHeight="1">
      <c r="A54" s="39" t="s">
        <v>24</v>
      </c>
      <c r="B54" s="49">
        <f>+B40/D40</f>
        <v>0.4117647058823529</v>
      </c>
      <c r="C54" s="49">
        <f>+C40/D40</f>
        <v>0.5882352941176471</v>
      </c>
      <c r="D54" s="49">
        <f>SUM(B54:C54)</f>
        <v>1</v>
      </c>
      <c r="E54" s="50"/>
    </row>
    <row r="55" spans="1:5" ht="16.5">
      <c r="A55" s="39" t="s">
        <v>13</v>
      </c>
      <c r="B55" s="49">
        <f>+B41/D41</f>
        <v>0.6481481481481481</v>
      </c>
      <c r="C55" s="49">
        <f>+C41/D41</f>
        <v>0.35185185185185186</v>
      </c>
      <c r="D55" s="49">
        <f>SUM(B55:C55)</f>
        <v>1</v>
      </c>
      <c r="E55" s="50"/>
    </row>
    <row r="56" spans="1:5" ht="16.5">
      <c r="A56" s="39" t="s">
        <v>14</v>
      </c>
      <c r="B56" s="49">
        <f>+B42/D42</f>
        <v>0.8914518317503393</v>
      </c>
      <c r="C56" s="49">
        <f>+C42/D42</f>
        <v>0.10854816824966079</v>
      </c>
      <c r="D56" s="49">
        <f>SUM(B56:C56)</f>
        <v>1</v>
      </c>
      <c r="E56" s="50"/>
    </row>
    <row r="57" spans="1:5" ht="16.5">
      <c r="A57" s="12"/>
      <c r="B57" s="51"/>
      <c r="C57" s="51"/>
      <c r="D57" s="51"/>
      <c r="E57" s="51"/>
    </row>
    <row r="58" spans="1:5" ht="12">
      <c r="A58" s="3"/>
      <c r="B58" s="3"/>
      <c r="C58" s="10"/>
      <c r="D58" s="3"/>
      <c r="E58" s="3"/>
    </row>
    <row r="59" spans="1:22" ht="15" customHeight="1">
      <c r="A59" s="263" t="s">
        <v>0</v>
      </c>
      <c r="B59" s="263"/>
      <c r="C59" s="263"/>
      <c r="D59" s="263"/>
      <c r="E59" s="263"/>
      <c r="F59" s="263"/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9.5" customHeight="1">
      <c r="A60" s="263" t="s">
        <v>46</v>
      </c>
      <c r="B60" s="263"/>
      <c r="C60" s="263"/>
      <c r="D60" s="263"/>
      <c r="E60" s="263"/>
      <c r="F60" s="263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7" ht="17.25" customHeight="1">
      <c r="A61" s="265" t="s">
        <v>36</v>
      </c>
      <c r="B61" s="265"/>
      <c r="C61" s="265"/>
      <c r="D61" s="265"/>
      <c r="E61" s="265"/>
      <c r="F61" s="265"/>
      <c r="G61" s="9"/>
    </row>
    <row r="62" spans="1:7" s="4" customFormat="1" ht="12.75">
      <c r="A62" s="62"/>
      <c r="B62" s="79">
        <f>909+209+56</f>
        <v>1174</v>
      </c>
      <c r="C62" s="63"/>
      <c r="D62" s="87">
        <f>654+165+42</f>
        <v>861</v>
      </c>
      <c r="E62" s="62"/>
      <c r="F62" s="62"/>
      <c r="G62" s="3"/>
    </row>
    <row r="63" spans="1:29" ht="15">
      <c r="A63" s="88" t="s">
        <v>4</v>
      </c>
      <c r="B63" s="89" t="s">
        <v>37</v>
      </c>
      <c r="C63" s="89" t="s">
        <v>38</v>
      </c>
      <c r="D63" s="90" t="s">
        <v>39</v>
      </c>
      <c r="E63" s="90" t="s">
        <v>40</v>
      </c>
      <c r="F63" s="91" t="s">
        <v>29</v>
      </c>
      <c r="G63"/>
      <c r="AB63" s="4"/>
      <c r="AC63" s="4"/>
    </row>
    <row r="64" spans="1:29" ht="18" customHeight="1">
      <c r="A64" s="92" t="s">
        <v>13</v>
      </c>
      <c r="B64" s="84">
        <v>102</v>
      </c>
      <c r="C64" s="93">
        <f>+B64/F64</f>
        <v>0.6375</v>
      </c>
      <c r="D64" s="84">
        <v>58</v>
      </c>
      <c r="E64" s="93">
        <f>+D64/F64</f>
        <v>0.3625</v>
      </c>
      <c r="F64" s="84">
        <f aca="true" t="shared" si="1" ref="F64:F69">+B64+D64</f>
        <v>160</v>
      </c>
      <c r="G64"/>
      <c r="AB64" s="4"/>
      <c r="AC64" s="4"/>
    </row>
    <row r="65" spans="1:29" ht="30.75" customHeight="1">
      <c r="A65" s="92" t="s">
        <v>14</v>
      </c>
      <c r="B65" s="84">
        <v>1517</v>
      </c>
      <c r="C65" s="93">
        <f>+B65/F65</f>
        <v>0.8892145369284877</v>
      </c>
      <c r="D65" s="84">
        <v>189</v>
      </c>
      <c r="E65" s="93">
        <f>+D65/F65</f>
        <v>0.11078546307151231</v>
      </c>
      <c r="F65" s="84">
        <f t="shared" si="1"/>
        <v>1706</v>
      </c>
      <c r="G65"/>
      <c r="AB65" s="4"/>
      <c r="AC65" s="4"/>
    </row>
    <row r="66" spans="1:29" ht="30.75" customHeight="1">
      <c r="A66" s="94" t="s">
        <v>10</v>
      </c>
      <c r="B66" s="84">
        <v>133</v>
      </c>
      <c r="C66" s="93">
        <f>+B66/F66</f>
        <v>0.5095785440613027</v>
      </c>
      <c r="D66" s="84">
        <v>128</v>
      </c>
      <c r="E66" s="93">
        <f>+D66/F66</f>
        <v>0.4904214559386973</v>
      </c>
      <c r="F66" s="84">
        <f t="shared" si="1"/>
        <v>261</v>
      </c>
      <c r="G66"/>
      <c r="AB66" s="4"/>
      <c r="AC66" s="4"/>
    </row>
    <row r="67" spans="1:29" ht="18">
      <c r="A67" s="92" t="s">
        <v>24</v>
      </c>
      <c r="B67" s="84">
        <v>66</v>
      </c>
      <c r="C67" s="93">
        <f>+B67/F67</f>
        <v>0.45517241379310347</v>
      </c>
      <c r="D67" s="84">
        <v>79</v>
      </c>
      <c r="E67" s="93">
        <f>+D67/F67</f>
        <v>0.5448275862068965</v>
      </c>
      <c r="F67" s="84">
        <f t="shared" si="1"/>
        <v>145</v>
      </c>
      <c r="G67"/>
      <c r="H67" s="57"/>
      <c r="AB67" s="4"/>
      <c r="AC67" s="4"/>
    </row>
    <row r="68" spans="1:29" ht="17.25" customHeight="1">
      <c r="A68" s="94" t="s">
        <v>11</v>
      </c>
      <c r="B68" s="84">
        <v>89</v>
      </c>
      <c r="C68" s="93">
        <f>+B68/F68</f>
        <v>0.5855263157894737</v>
      </c>
      <c r="D68" s="84">
        <v>63</v>
      </c>
      <c r="E68" s="93">
        <f>+D68/F68</f>
        <v>0.4144736842105263</v>
      </c>
      <c r="F68" s="84">
        <f t="shared" si="1"/>
        <v>152</v>
      </c>
      <c r="G68"/>
      <c r="AB68" s="4"/>
      <c r="AC68" s="4"/>
    </row>
    <row r="69" spans="1:29" ht="18" hidden="1">
      <c r="A69" s="95" t="s">
        <v>15</v>
      </c>
      <c r="B69" s="84">
        <v>0</v>
      </c>
      <c r="C69" s="93">
        <v>0</v>
      </c>
      <c r="D69" s="84"/>
      <c r="E69" s="93">
        <v>0</v>
      </c>
      <c r="F69" s="84">
        <f t="shared" si="1"/>
        <v>0</v>
      </c>
      <c r="G69"/>
      <c r="AB69" s="4"/>
      <c r="AC69" s="4"/>
    </row>
    <row r="70" spans="1:29" ht="18">
      <c r="A70" s="96" t="s">
        <v>16</v>
      </c>
      <c r="B70" s="85">
        <f>SUM(B64:B69)</f>
        <v>1907</v>
      </c>
      <c r="C70" s="97">
        <f>+B70/F70</f>
        <v>0.7867161716171617</v>
      </c>
      <c r="D70" s="85">
        <f>SUM(D64:D69)</f>
        <v>517</v>
      </c>
      <c r="E70" s="97">
        <f>+D70/F70</f>
        <v>0.2132838283828383</v>
      </c>
      <c r="F70" s="85">
        <f>SUM(F64:F69)</f>
        <v>2424</v>
      </c>
      <c r="G70"/>
      <c r="AB70" s="4"/>
      <c r="AC70" s="4"/>
    </row>
    <row r="71" spans="1:5" ht="12">
      <c r="A71" s="3"/>
      <c r="B71" s="3"/>
      <c r="C71" s="10"/>
      <c r="D71" s="3"/>
      <c r="E71" s="3"/>
    </row>
    <row r="72" spans="1:5" ht="12">
      <c r="A72" s="3"/>
      <c r="B72" s="58"/>
      <c r="C72" s="10"/>
      <c r="D72" s="3"/>
      <c r="E72" s="3"/>
    </row>
    <row r="73" spans="1:5" ht="12">
      <c r="A73" s="3"/>
      <c r="B73" s="3"/>
      <c r="C73" s="10"/>
      <c r="D73" s="3"/>
      <c r="E73" s="3"/>
    </row>
    <row r="74" spans="1:5" ht="12">
      <c r="A74" s="3"/>
      <c r="B74" s="3"/>
      <c r="C74" s="10"/>
      <c r="D74" s="3"/>
      <c r="E74" s="3"/>
    </row>
    <row r="75" spans="1:5" ht="12">
      <c r="A75" s="3"/>
      <c r="B75" s="3"/>
      <c r="C75" s="10"/>
      <c r="D75" s="3"/>
      <c r="E75" s="3"/>
    </row>
    <row r="76" spans="1:5" ht="12">
      <c r="A76" s="3"/>
      <c r="B76" s="3"/>
      <c r="C76" s="10"/>
      <c r="D76" s="3"/>
      <c r="E76" s="3"/>
    </row>
    <row r="77" spans="1:5" ht="12">
      <c r="A77" s="3"/>
      <c r="B77" s="3"/>
      <c r="C77" s="10"/>
      <c r="D77" s="3"/>
      <c r="E77" s="3"/>
    </row>
    <row r="78" spans="1:5" ht="12">
      <c r="A78" s="3"/>
      <c r="B78" s="3"/>
      <c r="C78" s="10"/>
      <c r="D78" s="3"/>
      <c r="E78" s="3"/>
    </row>
    <row r="79" spans="1:5" ht="21" customHeight="1">
      <c r="A79" s="3"/>
      <c r="B79" s="3"/>
      <c r="C79" s="10"/>
      <c r="D79" s="3"/>
      <c r="E79" s="3"/>
    </row>
    <row r="80" spans="1:5" ht="21" customHeight="1">
      <c r="A80" s="3"/>
      <c r="B80" s="3"/>
      <c r="C80" s="10"/>
      <c r="D80" s="3"/>
      <c r="E80" s="3"/>
    </row>
    <row r="81" spans="1:5" ht="18.75" customHeight="1">
      <c r="A81" s="3"/>
      <c r="B81" s="3"/>
      <c r="C81" s="10"/>
      <c r="D81" s="3"/>
      <c r="E81" s="3"/>
    </row>
    <row r="82" spans="1:5" ht="12">
      <c r="A82" s="3"/>
      <c r="B82" s="3"/>
      <c r="C82" s="10"/>
      <c r="D82" s="3"/>
      <c r="E82" s="3"/>
    </row>
    <row r="83" spans="1:5" ht="12">
      <c r="A83" s="3"/>
      <c r="B83" s="3"/>
      <c r="C83" s="10"/>
      <c r="D83" s="3"/>
      <c r="E83" s="3"/>
    </row>
    <row r="84" spans="1:5" ht="12">
      <c r="A84" s="3"/>
      <c r="B84" s="3"/>
      <c r="C84" s="10"/>
      <c r="D84" s="3"/>
      <c r="E84" s="3"/>
    </row>
    <row r="85" spans="1:5" ht="12">
      <c r="A85" s="3"/>
      <c r="B85" s="3"/>
      <c r="C85" s="10"/>
      <c r="D85" s="3"/>
      <c r="E85" s="3"/>
    </row>
    <row r="86" spans="1:5" ht="12">
      <c r="A86" s="3"/>
      <c r="B86" s="3"/>
      <c r="C86" s="10"/>
      <c r="D86" s="3"/>
      <c r="E86" s="3"/>
    </row>
    <row r="87" spans="1:5" ht="12">
      <c r="A87" s="3"/>
      <c r="B87" s="3"/>
      <c r="C87" s="10"/>
      <c r="D87" s="3"/>
      <c r="E87" s="3"/>
    </row>
    <row r="88" spans="1:5" ht="12">
      <c r="A88" s="3"/>
      <c r="B88" s="3"/>
      <c r="C88" s="10"/>
      <c r="D88" s="3"/>
      <c r="E88" s="3"/>
    </row>
    <row r="89" spans="1:5" ht="12">
      <c r="A89" s="3"/>
      <c r="B89" s="3"/>
      <c r="C89" s="10"/>
      <c r="D89" s="3"/>
      <c r="E89" s="3"/>
    </row>
    <row r="90" spans="1:5" ht="12">
      <c r="A90" s="3"/>
      <c r="B90" s="3"/>
      <c r="C90" s="10"/>
      <c r="D90" s="3"/>
      <c r="E90" s="3"/>
    </row>
    <row r="91" spans="1:5" ht="12">
      <c r="A91" s="3"/>
      <c r="B91" s="3"/>
      <c r="C91" s="10"/>
      <c r="D91" s="3"/>
      <c r="E91" s="3"/>
    </row>
    <row r="92" spans="1:5" ht="12">
      <c r="A92" s="3"/>
      <c r="B92" s="3"/>
      <c r="C92" s="10"/>
      <c r="D92" s="3"/>
      <c r="E92" s="3"/>
    </row>
    <row r="93" spans="1:5" ht="12">
      <c r="A93" s="3"/>
      <c r="B93" s="3"/>
      <c r="C93" s="10"/>
      <c r="D93" s="3"/>
      <c r="E93" s="3"/>
    </row>
    <row r="94" spans="1:5" ht="12">
      <c r="A94" s="3"/>
      <c r="B94" s="3"/>
      <c r="C94" s="10"/>
      <c r="D94" s="3"/>
      <c r="E94" s="3"/>
    </row>
    <row r="95" spans="1:5" ht="12">
      <c r="A95" s="3"/>
      <c r="B95" s="3"/>
      <c r="C95" s="10"/>
      <c r="D95" s="3"/>
      <c r="E95" s="3"/>
    </row>
    <row r="96" spans="1:5" ht="12">
      <c r="A96" s="3"/>
      <c r="B96" s="3"/>
      <c r="C96" s="10"/>
      <c r="D96" s="3"/>
      <c r="E96" s="3"/>
    </row>
    <row r="97" spans="1:5" ht="12">
      <c r="A97" s="3"/>
      <c r="B97" s="3"/>
      <c r="C97" s="10"/>
      <c r="D97" s="3"/>
      <c r="E97" s="3"/>
    </row>
    <row r="98" spans="1:5" ht="12">
      <c r="A98" s="3"/>
      <c r="B98" s="3"/>
      <c r="C98" s="10"/>
      <c r="D98" s="3"/>
      <c r="E98" s="3"/>
    </row>
    <row r="99" spans="1:5" ht="12">
      <c r="A99" s="3"/>
      <c r="B99" s="3"/>
      <c r="C99" s="10"/>
      <c r="D99" s="3"/>
      <c r="E99" s="3"/>
    </row>
    <row r="100" spans="1:5" ht="12">
      <c r="A100" s="3"/>
      <c r="B100" s="3"/>
      <c r="C100" s="10"/>
      <c r="D100" s="3"/>
      <c r="E100" s="3"/>
    </row>
    <row r="101" spans="1:5" ht="12">
      <c r="A101" s="3"/>
      <c r="B101" s="3"/>
      <c r="C101" s="10"/>
      <c r="D101" s="3"/>
      <c r="E101" s="3"/>
    </row>
    <row r="102" spans="1:5" ht="12">
      <c r="A102" s="3"/>
      <c r="B102" s="3"/>
      <c r="C102" s="10"/>
      <c r="D102" s="3"/>
      <c r="E102" s="3"/>
    </row>
    <row r="103" spans="1:5" ht="12">
      <c r="A103" s="3"/>
      <c r="B103" s="3"/>
      <c r="C103" s="10"/>
      <c r="D103" s="3"/>
      <c r="E103" s="3"/>
    </row>
    <row r="104" spans="1:5" ht="12">
      <c r="A104" s="3"/>
      <c r="B104" s="3"/>
      <c r="C104" s="10"/>
      <c r="D104" s="3"/>
      <c r="E104" s="3"/>
    </row>
    <row r="105" spans="1:5" ht="12">
      <c r="A105" s="3"/>
      <c r="B105" s="3"/>
      <c r="C105" s="10"/>
      <c r="D105" s="3"/>
      <c r="E105" s="3"/>
    </row>
    <row r="106" spans="1:5" ht="12">
      <c r="A106" s="3"/>
      <c r="B106" s="3"/>
      <c r="C106" s="10"/>
      <c r="D106" s="3"/>
      <c r="E106" s="3"/>
    </row>
    <row r="107" spans="1:5" ht="12">
      <c r="A107" s="3"/>
      <c r="B107" s="3"/>
      <c r="C107" s="10"/>
      <c r="D107" s="3"/>
      <c r="E107" s="3"/>
    </row>
    <row r="108" spans="1:5" ht="12">
      <c r="A108" s="3"/>
      <c r="B108" s="3"/>
      <c r="C108" s="10"/>
      <c r="D108" s="3"/>
      <c r="E108" s="3"/>
    </row>
    <row r="109" spans="1:5" ht="12">
      <c r="A109" s="3"/>
      <c r="B109" s="3"/>
      <c r="C109" s="10"/>
      <c r="D109" s="3"/>
      <c r="E109" s="3"/>
    </row>
    <row r="110" spans="1:5" ht="12">
      <c r="A110" s="3"/>
      <c r="B110" s="3"/>
      <c r="C110" s="10"/>
      <c r="D110" s="3"/>
      <c r="E110" s="3"/>
    </row>
    <row r="111" spans="1:5" ht="12">
      <c r="A111" s="3"/>
      <c r="B111" s="3"/>
      <c r="C111" s="10"/>
      <c r="D111" s="3"/>
      <c r="E111" s="3"/>
    </row>
    <row r="112" spans="1:5" ht="12">
      <c r="A112" s="3"/>
      <c r="B112" s="3"/>
      <c r="C112" s="10"/>
      <c r="D112" s="3"/>
      <c r="E112" s="3"/>
    </row>
    <row r="113" spans="1:5" ht="12">
      <c r="A113" s="3"/>
      <c r="B113" s="3"/>
      <c r="C113" s="10"/>
      <c r="D113" s="3"/>
      <c r="E113" s="3"/>
    </row>
    <row r="114" spans="1:5" ht="12">
      <c r="A114" s="3"/>
      <c r="B114" s="3"/>
      <c r="C114" s="10"/>
      <c r="D114" s="3"/>
      <c r="E114" s="3"/>
    </row>
    <row r="115" spans="1:5" ht="12">
      <c r="A115" s="3"/>
      <c r="B115" s="3"/>
      <c r="C115" s="10"/>
      <c r="D115" s="3"/>
      <c r="E115" s="3"/>
    </row>
    <row r="116" spans="1:5" ht="12">
      <c r="A116" s="3"/>
      <c r="B116" s="3"/>
      <c r="C116" s="10"/>
      <c r="D116" s="3"/>
      <c r="E116" s="3"/>
    </row>
    <row r="117" spans="1:5" ht="12">
      <c r="A117" s="3"/>
      <c r="B117" s="3"/>
      <c r="C117" s="10"/>
      <c r="D117" s="3"/>
      <c r="E117" s="3"/>
    </row>
    <row r="118" spans="1:5" ht="12">
      <c r="A118" s="3"/>
      <c r="B118" s="3"/>
      <c r="C118" s="10"/>
      <c r="D118" s="3"/>
      <c r="E118" s="3"/>
    </row>
    <row r="119" spans="1:5" ht="12">
      <c r="A119" s="3"/>
      <c r="B119" s="3"/>
      <c r="C119" s="10"/>
      <c r="D119" s="3"/>
      <c r="E119" s="3"/>
    </row>
    <row r="120" spans="1:5" ht="12">
      <c r="A120" s="3"/>
      <c r="B120" s="3"/>
      <c r="C120" s="10"/>
      <c r="D120" s="3"/>
      <c r="E120" s="3"/>
    </row>
    <row r="121" spans="1:5" ht="12">
      <c r="A121" s="3"/>
      <c r="B121" s="3"/>
      <c r="C121" s="10"/>
      <c r="D121" s="3"/>
      <c r="E121" s="3"/>
    </row>
    <row r="122" spans="1:5" ht="12">
      <c r="A122" s="3"/>
      <c r="B122" s="3"/>
      <c r="C122" s="10"/>
      <c r="D122" s="3"/>
      <c r="E122" s="3"/>
    </row>
    <row r="123" spans="1:5" ht="12">
      <c r="A123" s="3"/>
      <c r="B123" s="3"/>
      <c r="C123" s="10"/>
      <c r="D123" s="3"/>
      <c r="E123" s="3"/>
    </row>
    <row r="124" spans="1:5" ht="12">
      <c r="A124" s="3"/>
      <c r="B124" s="3"/>
      <c r="C124" s="10"/>
      <c r="D124" s="3"/>
      <c r="E124" s="3"/>
    </row>
    <row r="125" spans="1:5" ht="12">
      <c r="A125" s="3"/>
      <c r="B125" s="3"/>
      <c r="C125" s="10"/>
      <c r="D125" s="3"/>
      <c r="E125" s="3"/>
    </row>
    <row r="126" spans="1:5" ht="12">
      <c r="A126" s="3"/>
      <c r="B126" s="3"/>
      <c r="C126" s="10"/>
      <c r="D126" s="3"/>
      <c r="E126" s="3"/>
    </row>
    <row r="127" spans="1:5" ht="12">
      <c r="A127" s="3"/>
      <c r="B127" s="3"/>
      <c r="C127" s="10"/>
      <c r="D127" s="3"/>
      <c r="E127" s="3"/>
    </row>
    <row r="128" spans="1:5" ht="12">
      <c r="A128" s="3"/>
      <c r="B128" s="3"/>
      <c r="C128" s="10"/>
      <c r="D128" s="3"/>
      <c r="E128" s="3"/>
    </row>
    <row r="129" spans="1:5" ht="12">
      <c r="A129" s="3"/>
      <c r="B129" s="3"/>
      <c r="C129" s="10"/>
      <c r="D129" s="3"/>
      <c r="E129" s="3"/>
    </row>
    <row r="130" spans="1:5" ht="12">
      <c r="A130" s="3"/>
      <c r="B130" s="3"/>
      <c r="C130" s="10"/>
      <c r="D130" s="3"/>
      <c r="E130" s="3"/>
    </row>
    <row r="131" spans="1:5" ht="12">
      <c r="A131" s="3"/>
      <c r="B131" s="3"/>
      <c r="C131" s="10"/>
      <c r="D131" s="3"/>
      <c r="E131" s="3"/>
    </row>
    <row r="132" spans="1:5" ht="12">
      <c r="A132" s="3"/>
      <c r="B132" s="3"/>
      <c r="C132" s="10"/>
      <c r="D132" s="3"/>
      <c r="E132" s="3"/>
    </row>
    <row r="133" spans="1:5" ht="12">
      <c r="A133" s="3"/>
      <c r="B133" s="3"/>
      <c r="C133" s="10"/>
      <c r="D133" s="3"/>
      <c r="E133" s="3"/>
    </row>
    <row r="134" spans="1:5" ht="12">
      <c r="A134" s="3"/>
      <c r="B134" s="3"/>
      <c r="C134" s="10"/>
      <c r="D134" s="3"/>
      <c r="E134" s="3"/>
    </row>
    <row r="135" spans="1:5" ht="12">
      <c r="A135" s="3"/>
      <c r="B135" s="3"/>
      <c r="C135" s="10"/>
      <c r="D135" s="3"/>
      <c r="E135" s="3"/>
    </row>
    <row r="136" spans="1:5" ht="12">
      <c r="A136" s="3"/>
      <c r="B136" s="3"/>
      <c r="C136" s="10"/>
      <c r="D136" s="3"/>
      <c r="E136" s="3"/>
    </row>
    <row r="137" spans="1:5" ht="12">
      <c r="A137" s="3"/>
      <c r="B137" s="3"/>
      <c r="C137" s="10"/>
      <c r="D137" s="3"/>
      <c r="E137" s="3"/>
    </row>
    <row r="138" spans="1:5" ht="12">
      <c r="A138" s="3"/>
      <c r="B138" s="3"/>
      <c r="C138" s="10"/>
      <c r="D138" s="3"/>
      <c r="E138" s="3"/>
    </row>
    <row r="139" spans="1:5" ht="12">
      <c r="A139" s="3"/>
      <c r="B139" s="3"/>
      <c r="C139" s="10"/>
      <c r="D139" s="3"/>
      <c r="E139" s="3"/>
    </row>
    <row r="140" spans="1:5" ht="12">
      <c r="A140" s="3"/>
      <c r="B140" s="3"/>
      <c r="C140" s="10"/>
      <c r="D140" s="3"/>
      <c r="E140" s="3"/>
    </row>
    <row r="141" spans="1:5" ht="12">
      <c r="A141" s="3"/>
      <c r="B141" s="3"/>
      <c r="C141" s="10"/>
      <c r="D141" s="3"/>
      <c r="E141" s="3"/>
    </row>
    <row r="142" spans="1:5" ht="12">
      <c r="A142" s="3"/>
      <c r="B142" s="3"/>
      <c r="C142" s="10"/>
      <c r="D142" s="3"/>
      <c r="E142" s="3"/>
    </row>
    <row r="143" spans="1:5" ht="12">
      <c r="A143" s="3"/>
      <c r="B143" s="3"/>
      <c r="C143" s="10"/>
      <c r="D143" s="3"/>
      <c r="E143" s="3"/>
    </row>
    <row r="144" spans="1:5" ht="12">
      <c r="A144" s="3"/>
      <c r="B144" s="3"/>
      <c r="C144" s="10"/>
      <c r="D144" s="3"/>
      <c r="E144" s="3"/>
    </row>
    <row r="145" spans="1:5" ht="12">
      <c r="A145" s="3"/>
      <c r="B145" s="3"/>
      <c r="C145" s="10"/>
      <c r="D145" s="3"/>
      <c r="E145" s="3"/>
    </row>
    <row r="146" spans="1:5" ht="12">
      <c r="A146" s="3"/>
      <c r="B146" s="3"/>
      <c r="C146" s="10"/>
      <c r="D146" s="3"/>
      <c r="E146" s="3"/>
    </row>
    <row r="147" spans="1:5" ht="12">
      <c r="A147" s="3"/>
      <c r="B147" s="3"/>
      <c r="C147" s="10"/>
      <c r="D147" s="3"/>
      <c r="E147" s="3"/>
    </row>
    <row r="148" spans="1:5" ht="12">
      <c r="A148" s="3"/>
      <c r="B148" s="3"/>
      <c r="C148" s="10"/>
      <c r="D148" s="3"/>
      <c r="E148" s="3"/>
    </row>
    <row r="149" spans="1:5" ht="12">
      <c r="A149" s="3"/>
      <c r="B149" s="3"/>
      <c r="C149" s="10"/>
      <c r="D149" s="3"/>
      <c r="E149" s="3"/>
    </row>
    <row r="150" spans="1:5" ht="12">
      <c r="A150" s="3"/>
      <c r="B150" s="3"/>
      <c r="C150" s="10"/>
      <c r="D150" s="3"/>
      <c r="E150" s="3"/>
    </row>
    <row r="151" spans="1:5" ht="12">
      <c r="A151" s="3"/>
      <c r="B151" s="3"/>
      <c r="C151" s="10"/>
      <c r="D151" s="3"/>
      <c r="E151" s="3"/>
    </row>
    <row r="152" spans="1:5" ht="12">
      <c r="A152" s="3"/>
      <c r="B152" s="3"/>
      <c r="C152" s="10"/>
      <c r="D152" s="3"/>
      <c r="E152" s="3"/>
    </row>
    <row r="153" spans="1:5" ht="12">
      <c r="A153" s="3"/>
      <c r="B153" s="3"/>
      <c r="C153" s="10"/>
      <c r="D153" s="3"/>
      <c r="E153" s="3"/>
    </row>
    <row r="154" spans="1:5" ht="12">
      <c r="A154" s="3"/>
      <c r="B154" s="3"/>
      <c r="C154" s="10"/>
      <c r="D154" s="3"/>
      <c r="E154" s="3"/>
    </row>
    <row r="155" spans="1:5" ht="12">
      <c r="A155" s="3"/>
      <c r="B155" s="3"/>
      <c r="C155" s="10"/>
      <c r="D155" s="3"/>
      <c r="E155" s="3"/>
    </row>
    <row r="156" spans="1:5" ht="12">
      <c r="A156" s="3"/>
      <c r="B156" s="3"/>
      <c r="C156" s="10"/>
      <c r="D156" s="3"/>
      <c r="E156" s="3"/>
    </row>
    <row r="157" spans="1:5" ht="12">
      <c r="A157" s="3"/>
      <c r="B157" s="3"/>
      <c r="C157" s="10"/>
      <c r="D157" s="3"/>
      <c r="E157" s="3"/>
    </row>
    <row r="158" spans="1:5" ht="12">
      <c r="A158" s="3"/>
      <c r="B158" s="3"/>
      <c r="C158" s="10"/>
      <c r="D158" s="3"/>
      <c r="E158" s="3"/>
    </row>
    <row r="159" spans="1:5" ht="12">
      <c r="A159" s="3"/>
      <c r="B159" s="3"/>
      <c r="C159" s="10"/>
      <c r="D159" s="3"/>
      <c r="E159" s="3"/>
    </row>
    <row r="160" spans="1:5" ht="12">
      <c r="A160" s="3"/>
      <c r="B160" s="3"/>
      <c r="C160" s="10"/>
      <c r="D160" s="3"/>
      <c r="E160" s="3"/>
    </row>
    <row r="161" spans="1:5" ht="12">
      <c r="A161" s="3"/>
      <c r="B161" s="3"/>
      <c r="C161" s="10"/>
      <c r="D161" s="3"/>
      <c r="E161" s="3"/>
    </row>
    <row r="162" spans="1:5" ht="12">
      <c r="A162" s="3"/>
      <c r="B162" s="3"/>
      <c r="C162" s="10"/>
      <c r="D162" s="3"/>
      <c r="E162" s="3"/>
    </row>
    <row r="163" spans="1:5" ht="12">
      <c r="A163" s="3"/>
      <c r="B163" s="3"/>
      <c r="C163" s="10"/>
      <c r="D163" s="3"/>
      <c r="E163" s="3"/>
    </row>
    <row r="164" spans="1:5" ht="12">
      <c r="A164" s="3"/>
      <c r="B164" s="3"/>
      <c r="C164" s="10"/>
      <c r="D164" s="3"/>
      <c r="E164" s="3"/>
    </row>
    <row r="165" spans="1:5" ht="12">
      <c r="A165" s="3"/>
      <c r="B165" s="3"/>
      <c r="C165" s="10"/>
      <c r="D165" s="3"/>
      <c r="E165" s="3"/>
    </row>
    <row r="166" spans="1:5" ht="12">
      <c r="A166" s="3"/>
      <c r="B166" s="3"/>
      <c r="C166" s="10"/>
      <c r="D166" s="3"/>
      <c r="E166" s="3"/>
    </row>
    <row r="167" spans="1:5" ht="12">
      <c r="A167" s="3"/>
      <c r="B167" s="3"/>
      <c r="C167" s="10"/>
      <c r="D167" s="3"/>
      <c r="E167" s="3"/>
    </row>
    <row r="168" spans="1:5" ht="12">
      <c r="A168" s="3"/>
      <c r="B168" s="3"/>
      <c r="C168" s="10"/>
      <c r="D168" s="3"/>
      <c r="E168" s="3"/>
    </row>
    <row r="169" spans="1:5" ht="12">
      <c r="A169" s="3"/>
      <c r="B169" s="3"/>
      <c r="C169" s="10"/>
      <c r="D169" s="3"/>
      <c r="E169" s="3"/>
    </row>
    <row r="170" spans="1:5" ht="12">
      <c r="A170" s="3"/>
      <c r="B170" s="3"/>
      <c r="C170" s="10"/>
      <c r="D170" s="3"/>
      <c r="E170" s="3"/>
    </row>
    <row r="171" spans="1:5" ht="12">
      <c r="A171" s="3"/>
      <c r="B171" s="3"/>
      <c r="C171" s="10"/>
      <c r="D171" s="3"/>
      <c r="E171" s="3"/>
    </row>
    <row r="172" spans="1:5" ht="12">
      <c r="A172" s="3"/>
      <c r="B172" s="3"/>
      <c r="C172" s="10"/>
      <c r="D172" s="3"/>
      <c r="E172" s="3"/>
    </row>
    <row r="173" spans="1:5" ht="12">
      <c r="A173" s="3"/>
      <c r="B173" s="3"/>
      <c r="C173" s="10"/>
      <c r="D173" s="3"/>
      <c r="E173" s="3"/>
    </row>
    <row r="174" spans="1:5" ht="12">
      <c r="A174" s="3"/>
      <c r="B174" s="3"/>
      <c r="C174" s="10"/>
      <c r="D174" s="3"/>
      <c r="E174" s="3"/>
    </row>
    <row r="175" spans="1:5" ht="12">
      <c r="A175" s="3"/>
      <c r="B175" s="3"/>
      <c r="C175" s="10"/>
      <c r="D175" s="3"/>
      <c r="E175" s="3"/>
    </row>
    <row r="176" spans="1:5" ht="12">
      <c r="A176" s="3"/>
      <c r="B176" s="3"/>
      <c r="C176" s="10"/>
      <c r="D176" s="3"/>
      <c r="E176" s="3"/>
    </row>
    <row r="177" spans="1:5" ht="12">
      <c r="A177" s="3"/>
      <c r="B177" s="3"/>
      <c r="C177" s="10"/>
      <c r="D177" s="3"/>
      <c r="E177" s="3"/>
    </row>
    <row r="178" spans="1:5" ht="12">
      <c r="A178" s="3"/>
      <c r="B178" s="3"/>
      <c r="C178" s="10"/>
      <c r="D178" s="3"/>
      <c r="E178" s="3"/>
    </row>
    <row r="179" spans="1:5" ht="12">
      <c r="A179" s="3"/>
      <c r="B179" s="3"/>
      <c r="C179" s="10"/>
      <c r="D179" s="3"/>
      <c r="E179" s="3"/>
    </row>
    <row r="180" spans="1:5" ht="12">
      <c r="A180" s="3"/>
      <c r="B180" s="3"/>
      <c r="C180" s="10"/>
      <c r="D180" s="3"/>
      <c r="E180" s="3"/>
    </row>
    <row r="181" spans="1:5" ht="12">
      <c r="A181" s="3"/>
      <c r="B181" s="3"/>
      <c r="C181" s="10"/>
      <c r="D181" s="3"/>
      <c r="E181" s="3"/>
    </row>
    <row r="182" spans="1:5" ht="12">
      <c r="A182" s="3"/>
      <c r="B182" s="3"/>
      <c r="C182" s="10"/>
      <c r="D182" s="3"/>
      <c r="E182" s="3"/>
    </row>
    <row r="183" spans="1:5" ht="12">
      <c r="A183" s="3"/>
      <c r="B183" s="3"/>
      <c r="C183" s="10"/>
      <c r="D183" s="3"/>
      <c r="E183" s="3"/>
    </row>
    <row r="184" spans="1:5" ht="12">
      <c r="A184" s="3"/>
      <c r="B184" s="3"/>
      <c r="C184" s="10"/>
      <c r="D184" s="3"/>
      <c r="E184" s="3"/>
    </row>
    <row r="185" spans="1:5" ht="12">
      <c r="A185" s="3"/>
      <c r="B185" s="3"/>
      <c r="C185" s="10"/>
      <c r="D185" s="3"/>
      <c r="E185" s="3"/>
    </row>
    <row r="186" spans="1:5" ht="12">
      <c r="A186" s="3"/>
      <c r="B186" s="3"/>
      <c r="C186" s="10"/>
      <c r="D186" s="3"/>
      <c r="E186" s="3"/>
    </row>
    <row r="187" spans="1:5" ht="12">
      <c r="A187" s="3"/>
      <c r="B187" s="3"/>
      <c r="C187" s="10"/>
      <c r="D187" s="3"/>
      <c r="E187" s="3"/>
    </row>
    <row r="188" spans="1:5" ht="12">
      <c r="A188" s="3"/>
      <c r="B188" s="3"/>
      <c r="C188" s="10"/>
      <c r="D188" s="3"/>
      <c r="E188" s="3"/>
    </row>
    <row r="189" spans="1:5" ht="12">
      <c r="A189" s="3"/>
      <c r="B189" s="3"/>
      <c r="C189" s="10"/>
      <c r="D189" s="3"/>
      <c r="E189" s="3"/>
    </row>
    <row r="190" spans="1:5" ht="12">
      <c r="A190" s="3"/>
      <c r="B190" s="3"/>
      <c r="C190" s="10"/>
      <c r="D190" s="3"/>
      <c r="E190" s="3"/>
    </row>
    <row r="191" spans="1:5" ht="12">
      <c r="A191" s="3"/>
      <c r="B191" s="3"/>
      <c r="C191" s="10"/>
      <c r="D191" s="3"/>
      <c r="E191" s="3"/>
    </row>
    <row r="192" spans="1:5" ht="12">
      <c r="A192" s="3"/>
      <c r="B192" s="3"/>
      <c r="C192" s="10"/>
      <c r="D192" s="3"/>
      <c r="E192" s="3"/>
    </row>
    <row r="193" spans="1:5" ht="12">
      <c r="A193" s="3"/>
      <c r="B193" s="3"/>
      <c r="C193" s="10"/>
      <c r="D193" s="3"/>
      <c r="E193" s="3"/>
    </row>
    <row r="194" spans="1:5" ht="12">
      <c r="A194" s="3"/>
      <c r="B194" s="3"/>
      <c r="C194" s="10"/>
      <c r="D194" s="3"/>
      <c r="E194" s="3"/>
    </row>
    <row r="195" spans="1:5" ht="12">
      <c r="A195" s="3"/>
      <c r="B195" s="3"/>
      <c r="C195" s="10"/>
      <c r="D195" s="3"/>
      <c r="E195" s="3"/>
    </row>
    <row r="196" spans="1:5" ht="12">
      <c r="A196" s="3"/>
      <c r="B196" s="3"/>
      <c r="C196" s="10"/>
      <c r="D196" s="3"/>
      <c r="E196" s="3"/>
    </row>
    <row r="197" spans="1:5" ht="12">
      <c r="A197" s="3"/>
      <c r="B197" s="3"/>
      <c r="C197" s="10"/>
      <c r="D197" s="3"/>
      <c r="E197" s="3"/>
    </row>
    <row r="198" spans="1:5" ht="12">
      <c r="A198" s="3"/>
      <c r="B198" s="3"/>
      <c r="C198" s="10"/>
      <c r="D198" s="3"/>
      <c r="E198" s="3"/>
    </row>
  </sheetData>
  <sheetProtection selectLockedCells="1" selectUnlockedCells="1"/>
  <mergeCells count="16">
    <mergeCell ref="A50:D50"/>
    <mergeCell ref="A59:F59"/>
    <mergeCell ref="A60:F60"/>
    <mergeCell ref="A61:F61"/>
    <mergeCell ref="A21:F21"/>
    <mergeCell ref="A34:D34"/>
    <mergeCell ref="A35:D35"/>
    <mergeCell ref="A36:D36"/>
    <mergeCell ref="A48:D48"/>
    <mergeCell ref="A49:D49"/>
    <mergeCell ref="A1:F1"/>
    <mergeCell ref="A2:F2"/>
    <mergeCell ref="A3:F3"/>
    <mergeCell ref="C5:D5"/>
    <mergeCell ref="A19:F19"/>
    <mergeCell ref="A20:F20"/>
  </mergeCells>
  <printOptions/>
  <pageMargins left="0.7" right="0.7" top="1.25" bottom="0.75" header="0.5118055555555555" footer="0.5118055555555555"/>
  <pageSetup horizontalDpi="300" verticalDpi="300" orientation="landscape" scale="32"/>
  <rowBreaks count="1" manualBreakCount="1">
    <brk id="7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C193"/>
  <sheetViews>
    <sheetView zoomScale="65" zoomScaleNormal="65" zoomScaleSheetLayoutView="65" workbookViewId="0" topLeftCell="A34">
      <selection activeCell="N58" sqref="N57:N58"/>
    </sheetView>
  </sheetViews>
  <sheetFormatPr defaultColWidth="9.140625" defaultRowHeight="12.75"/>
  <cols>
    <col min="1" max="1" width="23.28125" style="1" customWidth="1"/>
    <col min="2" max="2" width="14.00390625" style="1" customWidth="1"/>
    <col min="3" max="3" width="14.00390625" style="2" customWidth="1"/>
    <col min="4" max="5" width="14.00390625" style="1" customWidth="1"/>
    <col min="6" max="7" width="12.421875" style="3" customWidth="1"/>
    <col min="8" max="27" width="9.140625" style="4" customWidth="1"/>
  </cols>
  <sheetData>
    <row r="1" spans="1:22" ht="21" customHeight="1">
      <c r="A1" s="263" t="s">
        <v>0</v>
      </c>
      <c r="B1" s="263"/>
      <c r="C1" s="263"/>
      <c r="D1" s="263"/>
      <c r="E1" s="263"/>
      <c r="F1" s="26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264" t="s">
        <v>47</v>
      </c>
      <c r="B2" s="264"/>
      <c r="C2" s="264"/>
      <c r="D2" s="264"/>
      <c r="E2" s="264"/>
      <c r="F2" s="26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6" ht="18.75" customHeight="1">
      <c r="A3" s="265" t="s">
        <v>2</v>
      </c>
      <c r="B3" s="265"/>
      <c r="C3" s="265"/>
      <c r="D3" s="265"/>
      <c r="E3" s="265"/>
      <c r="F3" s="265"/>
    </row>
    <row r="4" spans="1:6" ht="12.75" customHeight="1">
      <c r="A4" s="62"/>
      <c r="B4" s="62"/>
      <c r="C4" s="266" t="s">
        <v>3</v>
      </c>
      <c r="D4" s="266"/>
      <c r="E4" s="64"/>
      <c r="F4" s="62"/>
    </row>
    <row r="5" spans="1:6" ht="28.5" customHeight="1">
      <c r="A5" s="65" t="s">
        <v>4</v>
      </c>
      <c r="B5" s="66" t="s">
        <v>45</v>
      </c>
      <c r="C5" s="67" t="s">
        <v>6</v>
      </c>
      <c r="D5" s="68" t="s">
        <v>7</v>
      </c>
      <c r="E5" s="69" t="s">
        <v>8</v>
      </c>
      <c r="F5" s="65" t="s">
        <v>9</v>
      </c>
    </row>
    <row r="6" spans="1:6" ht="16.5" customHeight="1">
      <c r="A6" s="71" t="s">
        <v>10</v>
      </c>
      <c r="B6" s="72">
        <f>+'Enero-Marzo'!B7+'Abril-Junio'!B7+'Julio-Septiembre'!B7+'Octubre-Diciembre'!B7</f>
        <v>1633</v>
      </c>
      <c r="C6" s="72">
        <f>+'Enero-Marzo'!C7+'Abril-Junio'!C7+'Julio-Septiembre'!C7+'Octubre-Diciembre'!C7</f>
        <v>1042</v>
      </c>
      <c r="D6" s="72">
        <f>+'Enero-Marzo'!D7+'Abril-Junio'!D7+'Julio-Septiembre'!D7+'Octubre-Diciembre'!D7</f>
        <v>543</v>
      </c>
      <c r="E6" s="72">
        <f>+'Enero-Marzo'!E7+'Abril-Junio'!E7+'Julio-Septiembre'!E7+'Octubre-Diciembre'!E7</f>
        <v>48</v>
      </c>
      <c r="F6" s="73">
        <f>(D6+E6)/B6</f>
        <v>0.3619105939987753</v>
      </c>
    </row>
    <row r="7" spans="1:6" ht="16.5" customHeight="1">
      <c r="A7" s="71" t="s">
        <v>11</v>
      </c>
      <c r="B7" s="72">
        <f>+'Enero-Marzo'!B8+'Abril-Junio'!B8+'Julio-Septiembre'!B8+'Octubre-Diciembre'!B8</f>
        <v>780</v>
      </c>
      <c r="C7" s="72">
        <f>+'Enero-Marzo'!C8+'Abril-Junio'!C8+'Julio-Septiembre'!C8+'Octubre-Diciembre'!C8</f>
        <v>434</v>
      </c>
      <c r="D7" s="72">
        <f>+'Enero-Marzo'!D8+'Abril-Junio'!D8+'Julio-Septiembre'!D8+'Octubre-Diciembre'!D8</f>
        <v>307</v>
      </c>
      <c r="E7" s="72">
        <f>+'Enero-Marzo'!E8+'Abril-Junio'!E8+'Julio-Septiembre'!E8+'Octubre-Diciembre'!E8</f>
        <v>39</v>
      </c>
      <c r="F7" s="73">
        <f>(D7+E7)/B7</f>
        <v>0.44358974358974357</v>
      </c>
    </row>
    <row r="8" spans="1:6" ht="16.5" customHeight="1">
      <c r="A8" s="71" t="s">
        <v>12</v>
      </c>
      <c r="B8" s="72">
        <f>+'Enero-Marzo'!B9+'Abril-Junio'!B9+'Julio-Septiembre'!B9+'Octubre-Diciembre'!B9</f>
        <v>1074</v>
      </c>
      <c r="C8" s="72">
        <f>+'Enero-Marzo'!C9+'Abril-Junio'!C9+'Julio-Septiembre'!C9+'Octubre-Diciembre'!C9</f>
        <v>648</v>
      </c>
      <c r="D8" s="72">
        <f>+'Enero-Marzo'!D9+'Abril-Junio'!D9+'Julio-Septiembre'!D9+'Octubre-Diciembre'!D9</f>
        <v>288</v>
      </c>
      <c r="E8" s="72">
        <f>+'Enero-Marzo'!E9+'Abril-Junio'!E9+'Julio-Septiembre'!E9+'Octubre-Diciembre'!E9</f>
        <v>138</v>
      </c>
      <c r="F8" s="73">
        <f>(D8+E8)/B8</f>
        <v>0.39664804469273746</v>
      </c>
    </row>
    <row r="9" spans="1:6" ht="16.5" customHeight="1">
      <c r="A9" s="71" t="s">
        <v>13</v>
      </c>
      <c r="B9" s="72">
        <f>+'Enero-Marzo'!B10+'Abril-Junio'!B10+'Julio-Septiembre'!B10+'Octubre-Diciembre'!B10</f>
        <v>655</v>
      </c>
      <c r="C9" s="72">
        <f>+'Enero-Marzo'!C10+'Abril-Junio'!C10+'Julio-Septiembre'!C10+'Octubre-Diciembre'!C10</f>
        <v>441</v>
      </c>
      <c r="D9" s="72">
        <f>+'Enero-Marzo'!D10+'Abril-Junio'!D10+'Julio-Septiembre'!D10+'Octubre-Diciembre'!D10</f>
        <v>190</v>
      </c>
      <c r="E9" s="72">
        <f>+'Enero-Marzo'!E10+'Abril-Junio'!E10+'Julio-Septiembre'!E10+'Octubre-Diciembre'!E10</f>
        <v>24</v>
      </c>
      <c r="F9" s="73">
        <f>(D9+E9)/B9</f>
        <v>0.3267175572519084</v>
      </c>
    </row>
    <row r="10" spans="1:6" ht="16.5" customHeight="1">
      <c r="A10" s="71" t="s">
        <v>14</v>
      </c>
      <c r="B10" s="72">
        <v>4757</v>
      </c>
      <c r="C10" s="72">
        <v>3781</v>
      </c>
      <c r="D10" s="72">
        <v>927</v>
      </c>
      <c r="E10" s="72">
        <v>49</v>
      </c>
      <c r="F10" s="73">
        <f>(D10+E10)/B10</f>
        <v>0.20517132646626024</v>
      </c>
    </row>
    <row r="11" spans="1:6" ht="18">
      <c r="A11" s="65" t="s">
        <v>16</v>
      </c>
      <c r="B11" s="75">
        <f>SUM(B6:B10)</f>
        <v>8899</v>
      </c>
      <c r="C11" s="75">
        <f>SUM(C6:C10)</f>
        <v>6346</v>
      </c>
      <c r="D11" s="75">
        <f>SUM(D6:D10)</f>
        <v>2255</v>
      </c>
      <c r="E11" s="75">
        <f>SUM(E6:E10)</f>
        <v>298</v>
      </c>
      <c r="F11" s="76">
        <f>(+D11+E11)/B11</f>
        <v>0.2868861669850545</v>
      </c>
    </row>
    <row r="12" spans="1:6" ht="12">
      <c r="A12" s="23"/>
      <c r="B12" s="4"/>
      <c r="C12" s="4"/>
      <c r="D12" s="4"/>
      <c r="E12" s="4"/>
      <c r="F12" s="4"/>
    </row>
    <row r="13" spans="1:6" ht="12.75" customHeight="1">
      <c r="A13" s="23"/>
      <c r="B13" s="24"/>
      <c r="C13" s="24"/>
      <c r="D13" s="24"/>
      <c r="E13" s="25"/>
      <c r="F13" s="26"/>
    </row>
    <row r="14" spans="1:6" ht="12">
      <c r="A14" s="26"/>
      <c r="B14" s="26"/>
      <c r="C14" s="26"/>
      <c r="D14" s="26"/>
      <c r="E14" s="26"/>
      <c r="F14" s="26"/>
    </row>
    <row r="15" spans="1:6" ht="25.5" customHeight="1">
      <c r="A15" s="26"/>
      <c r="B15" s="26"/>
      <c r="C15" s="26"/>
      <c r="D15" s="26"/>
      <c r="E15" s="26"/>
      <c r="F15" s="26"/>
    </row>
    <row r="16" spans="1:6" ht="25.5" customHeight="1">
      <c r="A16" s="26"/>
      <c r="B16" s="26"/>
      <c r="C16" s="26"/>
      <c r="D16" s="26"/>
      <c r="E16" s="26"/>
      <c r="F16" s="26"/>
    </row>
    <row r="17" spans="1:22" ht="21" customHeight="1">
      <c r="A17" s="263" t="s">
        <v>0</v>
      </c>
      <c r="B17" s="263"/>
      <c r="C17" s="263"/>
      <c r="D17" s="263"/>
      <c r="E17" s="263"/>
      <c r="F17" s="263"/>
      <c r="G17" s="2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1.75" customHeight="1">
      <c r="A18" s="263" t="s">
        <v>47</v>
      </c>
      <c r="B18" s="263"/>
      <c r="C18" s="263"/>
      <c r="D18" s="263"/>
      <c r="E18" s="263"/>
      <c r="F18" s="263"/>
      <c r="G18" s="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7" ht="19.5" customHeight="1">
      <c r="A19" s="265" t="s">
        <v>17</v>
      </c>
      <c r="B19" s="265"/>
      <c r="C19" s="265"/>
      <c r="D19" s="265"/>
      <c r="E19" s="265"/>
      <c r="F19" s="265"/>
      <c r="G19" s="28"/>
    </row>
    <row r="20" spans="1:7" s="4" customFormat="1" ht="12.75">
      <c r="A20" s="62"/>
      <c r="B20" s="62"/>
      <c r="C20" s="63"/>
      <c r="D20" s="62"/>
      <c r="E20" s="62"/>
      <c r="F20" s="62"/>
      <c r="G20" s="3"/>
    </row>
    <row r="21" spans="1:6" s="4" customFormat="1" ht="12.75">
      <c r="A21" s="65" t="s">
        <v>18</v>
      </c>
      <c r="B21" s="66">
        <v>2205</v>
      </c>
      <c r="C21" s="98">
        <v>490</v>
      </c>
      <c r="D21" s="99">
        <v>5394</v>
      </c>
      <c r="E21" s="100">
        <f>+'Enero-Marzo'!E22+'Abril-Junio'!E24+'Julio-Septiembre'!E24+'Octubre-Diciembre'!E23</f>
        <v>537</v>
      </c>
      <c r="F21" s="100">
        <v>273</v>
      </c>
    </row>
    <row r="22" spans="1:29" ht="12.75">
      <c r="A22" s="65" t="s">
        <v>4</v>
      </c>
      <c r="B22" s="79" t="s">
        <v>19</v>
      </c>
      <c r="C22" s="80" t="s">
        <v>20</v>
      </c>
      <c r="D22" s="81" t="s">
        <v>21</v>
      </c>
      <c r="E22" s="70" t="s">
        <v>22</v>
      </c>
      <c r="F22" s="82" t="s">
        <v>43</v>
      </c>
      <c r="AB22" s="4"/>
      <c r="AC22" s="4"/>
    </row>
    <row r="23" spans="1:29" ht="18">
      <c r="A23" s="83" t="s">
        <v>10</v>
      </c>
      <c r="B23" s="84">
        <f>+'Enero-Marzo'!B24+'Abril-Junio'!B26+'Julio-Septiembre'!B26+'Octubre-Diciembre'!B25</f>
        <v>542</v>
      </c>
      <c r="C23" s="84">
        <f>+'Enero-Marzo'!C24+'Abril-Junio'!C26+'Julio-Septiembre'!C26+'Octubre-Diciembre'!C25</f>
        <v>167</v>
      </c>
      <c r="D23" s="84">
        <f>+'Enero-Marzo'!D24+'Abril-Junio'!D26+'Julio-Septiembre'!D26+'Octubre-Diciembre'!D25</f>
        <v>72</v>
      </c>
      <c r="E23" s="84">
        <f>+'Enero-Marzo'!E24+'Abril-Junio'!E26+'Julio-Septiembre'!E26+'Octubre-Diciembre'!E25</f>
        <v>174</v>
      </c>
      <c r="F23" s="84">
        <f>+'Enero-Marzo'!F24+'Abril-Junio'!F26+'Julio-Septiembre'!F26+'Octubre-Diciembre'!F25</f>
        <v>87</v>
      </c>
      <c r="AB23" s="4"/>
      <c r="AC23" s="4"/>
    </row>
    <row r="24" spans="1:29" ht="18">
      <c r="A24" s="83" t="s">
        <v>11</v>
      </c>
      <c r="B24" s="84">
        <f>+'Enero-Marzo'!B25+'Abril-Junio'!B27+'Julio-Septiembre'!B27+'Octubre-Diciembre'!B26</f>
        <v>213</v>
      </c>
      <c r="C24" s="84">
        <f>+'Enero-Marzo'!C25+'Abril-Junio'!C27+'Julio-Septiembre'!C27+'Octubre-Diciembre'!C26</f>
        <v>5</v>
      </c>
      <c r="D24" s="84">
        <v>84</v>
      </c>
      <c r="E24" s="84">
        <f>+'Enero-Marzo'!E25+'Abril-Junio'!E27+'Julio-Septiembre'!E27+'Octubre-Diciembre'!E26</f>
        <v>129</v>
      </c>
      <c r="F24" s="84">
        <v>3</v>
      </c>
      <c r="AB24" s="4"/>
      <c r="AC24" s="4"/>
    </row>
    <row r="25" spans="1:29" ht="25.5">
      <c r="A25" s="71" t="s">
        <v>24</v>
      </c>
      <c r="B25" s="84">
        <f>+'Enero-Marzo'!B26+'Abril-Junio'!B28+'Julio-Septiembre'!B28+'Octubre-Diciembre'!B27</f>
        <v>380</v>
      </c>
      <c r="C25" s="84">
        <f>+'Enero-Marzo'!C26+'Abril-Junio'!C28+'Julio-Septiembre'!C28+'Octubre-Diciembre'!C27</f>
        <v>62</v>
      </c>
      <c r="D25" s="84">
        <f>+'Enero-Marzo'!D26+'Abril-Junio'!D28+'Julio-Septiembre'!D28+'Octubre-Diciembre'!D27</f>
        <v>176</v>
      </c>
      <c r="E25" s="84">
        <f>+'Enero-Marzo'!E26+'Abril-Junio'!E28+'Julio-Septiembre'!E28+'Octubre-Diciembre'!E27</f>
        <v>17</v>
      </c>
      <c r="F25" s="84">
        <f>+'Enero-Marzo'!F26+'Abril-Junio'!F28+'Julio-Septiembre'!F28+'Octubre-Diciembre'!F27</f>
        <v>13</v>
      </c>
      <c r="AB25" s="4"/>
      <c r="AC25" s="4"/>
    </row>
    <row r="26" spans="1:29" ht="18">
      <c r="A26" s="71" t="s">
        <v>13</v>
      </c>
      <c r="B26" s="84">
        <f>+'Enero-Marzo'!B27+'Abril-Junio'!B29+'Julio-Septiembre'!B29+'Octubre-Diciembre'!B28</f>
        <v>105</v>
      </c>
      <c r="C26" s="84">
        <f>+'Enero-Marzo'!C27+'Abril-Junio'!C29+'Julio-Septiembre'!C29+'Octubre-Diciembre'!C28</f>
        <v>97</v>
      </c>
      <c r="D26" s="84">
        <f>+'Enero-Marzo'!D27+'Abril-Junio'!D29+'Julio-Septiembre'!D29+'Octubre-Diciembre'!D28</f>
        <v>157</v>
      </c>
      <c r="E26" s="84">
        <f>+'Enero-Marzo'!E27+'Abril-Junio'!E29+'Julio-Septiembre'!E29+'Octubre-Diciembre'!E28</f>
        <v>6</v>
      </c>
      <c r="F26" s="84">
        <f>+'Enero-Marzo'!F27+'Abril-Junio'!F29+'Julio-Septiembre'!F29+'Octubre-Diciembre'!F28</f>
        <v>76</v>
      </c>
      <c r="AB26" s="4"/>
      <c r="AC26" s="4"/>
    </row>
    <row r="27" spans="1:29" ht="18">
      <c r="A27" s="71" t="s">
        <v>14</v>
      </c>
      <c r="B27" s="84">
        <f>+'Enero-Marzo'!B28+'Abril-Junio'!B30+'Julio-Septiembre'!B30+'Octubre-Diciembre'!B29</f>
        <v>70</v>
      </c>
      <c r="C27" s="84">
        <f>+'Enero-Marzo'!C28+'Abril-Junio'!C30+'Julio-Septiembre'!C30+'Octubre-Diciembre'!C29</f>
        <v>19</v>
      </c>
      <c r="D27" s="84">
        <v>3679</v>
      </c>
      <c r="E27" s="84">
        <f>+'Enero-Marzo'!E28+'Abril-Junio'!E30+'Julio-Septiembre'!E30+'Octubre-Diciembre'!E29</f>
        <v>3</v>
      </c>
      <c r="F27" s="84">
        <f>+'Enero-Marzo'!F28+'Abril-Junio'!F30+'Julio-Septiembre'!F30+'Octubre-Diciembre'!F29</f>
        <v>10</v>
      </c>
      <c r="AB27" s="4"/>
      <c r="AC27" s="4"/>
    </row>
    <row r="28" spans="1:29" ht="18">
      <c r="A28" s="65" t="s">
        <v>16</v>
      </c>
      <c r="B28" s="85">
        <f>SUM(B23:B27)</f>
        <v>1310</v>
      </c>
      <c r="C28" s="85">
        <f>SUM(C23:C27)</f>
        <v>350</v>
      </c>
      <c r="D28" s="85">
        <f>SUM(D23:D27)</f>
        <v>4168</v>
      </c>
      <c r="E28" s="85">
        <f>SUM(E23:E27)</f>
        <v>329</v>
      </c>
      <c r="F28" s="85">
        <f>SUM(F23:F27)</f>
        <v>189</v>
      </c>
      <c r="AB28" s="4"/>
      <c r="AC28" s="4"/>
    </row>
    <row r="29" spans="1:29" ht="18">
      <c r="A29" s="77" t="s">
        <v>25</v>
      </c>
      <c r="B29" s="86">
        <f>+B28/C11</f>
        <v>0.20642924676961866</v>
      </c>
      <c r="C29" s="86">
        <f>+C28/C11</f>
        <v>0.05515285219035613</v>
      </c>
      <c r="D29" s="86">
        <f>+D28/C11</f>
        <v>0.6567916797982981</v>
      </c>
      <c r="E29" s="86">
        <f>+E28/C11</f>
        <v>0.05184368105893476</v>
      </c>
      <c r="F29" s="86">
        <f>+F28/C11</f>
        <v>0.02978254018279231</v>
      </c>
      <c r="AB29" s="4"/>
      <c r="AC29" s="4"/>
    </row>
    <row r="30" spans="1:7" s="4" customFormat="1" ht="108" customHeight="1">
      <c r="A30" s="39"/>
      <c r="B30" s="40"/>
      <c r="C30" s="41"/>
      <c r="D30" s="42"/>
      <c r="E30" s="42"/>
      <c r="F30" s="3"/>
      <c r="G30" s="3"/>
    </row>
    <row r="31" spans="1:5" ht="21" customHeight="1">
      <c r="A31" s="256" t="s">
        <v>0</v>
      </c>
      <c r="B31" s="256"/>
      <c r="C31" s="256"/>
      <c r="D31" s="256"/>
      <c r="E31" s="5"/>
    </row>
    <row r="32" spans="1:5" ht="18" customHeight="1">
      <c r="A32" s="261" t="s">
        <v>48</v>
      </c>
      <c r="B32" s="261"/>
      <c r="C32" s="261"/>
      <c r="D32" s="261"/>
      <c r="E32" s="43"/>
    </row>
    <row r="33" spans="1:5" ht="18.75" customHeight="1">
      <c r="A33" s="258" t="s">
        <v>26</v>
      </c>
      <c r="B33" s="258"/>
      <c r="C33" s="258"/>
      <c r="D33" s="258"/>
      <c r="E33" s="9"/>
    </row>
    <row r="34" spans="1:5" ht="18" customHeight="1">
      <c r="A34" s="12" t="s">
        <v>4</v>
      </c>
      <c r="B34" s="31" t="s">
        <v>27</v>
      </c>
      <c r="C34" s="44" t="s">
        <v>28</v>
      </c>
      <c r="D34" s="29" t="s">
        <v>29</v>
      </c>
      <c r="E34" s="29"/>
    </row>
    <row r="35" spans="1:5" ht="16.5">
      <c r="A35" s="26" t="s">
        <v>10</v>
      </c>
      <c r="B35" s="45">
        <v>784</v>
      </c>
      <c r="C35" s="45">
        <v>960</v>
      </c>
      <c r="D35" s="46">
        <f>+C35+B35</f>
        <v>1744</v>
      </c>
      <c r="E35" s="47"/>
    </row>
    <row r="36" spans="1:5" ht="16.5">
      <c r="A36" s="26" t="s">
        <v>11</v>
      </c>
      <c r="B36" s="45">
        <v>455</v>
      </c>
      <c r="C36" s="45">
        <v>981</v>
      </c>
      <c r="D36" s="46">
        <f>+C36+B36</f>
        <v>1436</v>
      </c>
      <c r="E36" s="47"/>
    </row>
    <row r="37" spans="1:5" ht="27.75" customHeight="1">
      <c r="A37" s="26" t="s">
        <v>24</v>
      </c>
      <c r="B37" s="45">
        <v>798</v>
      </c>
      <c r="C37" s="45">
        <v>1390</v>
      </c>
      <c r="D37" s="46">
        <f>+C37+B37</f>
        <v>2188</v>
      </c>
      <c r="E37" s="47"/>
    </row>
    <row r="38" spans="1:5" ht="16.5">
      <c r="A38" s="26" t="s">
        <v>13</v>
      </c>
      <c r="B38" s="45">
        <v>385</v>
      </c>
      <c r="C38" s="45">
        <v>290</v>
      </c>
      <c r="D38" s="46">
        <f>+C38+B38</f>
        <v>675</v>
      </c>
      <c r="E38" s="47"/>
    </row>
    <row r="39" spans="1:28" s="4" customFormat="1" ht="18.75" customHeight="1">
      <c r="A39" s="26" t="s">
        <v>14</v>
      </c>
      <c r="B39" s="45">
        <v>1222</v>
      </c>
      <c r="C39" s="45">
        <v>465</v>
      </c>
      <c r="D39" s="46">
        <f>+C39+B39</f>
        <v>1687</v>
      </c>
      <c r="E39" s="47"/>
      <c r="F39" s="3"/>
      <c r="G39" s="3"/>
      <c r="AB39"/>
    </row>
    <row r="40" spans="1:5" ht="30" customHeight="1">
      <c r="A40" s="12" t="s">
        <v>30</v>
      </c>
      <c r="B40" s="37">
        <f>SUM(B35:B39)</f>
        <v>3644</v>
      </c>
      <c r="C40" s="37">
        <f>SUM(C35:C39)</f>
        <v>4086</v>
      </c>
      <c r="D40" s="37">
        <f>SUM(D35:D39)</f>
        <v>7730</v>
      </c>
      <c r="E40" s="37"/>
    </row>
    <row r="41" spans="1:5" ht="16.5">
      <c r="A41" s="12" t="s">
        <v>31</v>
      </c>
      <c r="B41" s="37">
        <f>+B40/15</f>
        <v>242.93333333333334</v>
      </c>
      <c r="C41" s="37">
        <f>+C40/15</f>
        <v>272.4</v>
      </c>
      <c r="D41" s="37">
        <f>+D40/15</f>
        <v>515.3333333333334</v>
      </c>
      <c r="E41" s="37"/>
    </row>
    <row r="42" spans="1:5" ht="26.25" customHeight="1">
      <c r="A42" s="29" t="s">
        <v>32</v>
      </c>
      <c r="B42" s="38">
        <f>+B40/D40</f>
        <v>0.47141009055627425</v>
      </c>
      <c r="C42" s="38">
        <f>+C40/D40</f>
        <v>0.5285899094437257</v>
      </c>
      <c r="D42" s="38">
        <v>1</v>
      </c>
      <c r="E42" s="38"/>
    </row>
    <row r="43" spans="1:5" ht="42.75" customHeight="1">
      <c r="A43" s="3"/>
      <c r="B43" s="3"/>
      <c r="C43" s="10"/>
      <c r="D43" s="3"/>
      <c r="E43" s="3"/>
    </row>
    <row r="44" spans="1:5" ht="18.75" customHeight="1">
      <c r="A44" s="262" t="s">
        <v>0</v>
      </c>
      <c r="B44" s="262"/>
      <c r="C44" s="262"/>
      <c r="D44" s="262"/>
      <c r="E44" s="48"/>
    </row>
    <row r="45" spans="1:5" ht="18.75" customHeight="1">
      <c r="A45" s="257" t="s">
        <v>48</v>
      </c>
      <c r="B45" s="257"/>
      <c r="C45" s="257"/>
      <c r="D45" s="257"/>
      <c r="E45" s="7"/>
    </row>
    <row r="46" spans="1:5" ht="18.75" customHeight="1">
      <c r="A46" s="258" t="s">
        <v>33</v>
      </c>
      <c r="B46" s="258"/>
      <c r="C46" s="258"/>
      <c r="D46" s="258"/>
      <c r="E46" s="9"/>
    </row>
    <row r="47" spans="1:5" ht="24">
      <c r="A47" s="12" t="s">
        <v>4</v>
      </c>
      <c r="B47" s="12" t="s">
        <v>34</v>
      </c>
      <c r="C47" s="14" t="s">
        <v>35</v>
      </c>
      <c r="D47" s="12" t="s">
        <v>29</v>
      </c>
      <c r="E47" s="12"/>
    </row>
    <row r="48" spans="1:5" ht="16.5">
      <c r="A48" s="39" t="s">
        <v>10</v>
      </c>
      <c r="B48" s="49">
        <f>+B35/D35</f>
        <v>0.44954128440366975</v>
      </c>
      <c r="C48" s="49">
        <f>+C35/D35</f>
        <v>0.5504587155963303</v>
      </c>
      <c r="D48" s="49">
        <f>SUM(B48:C48)</f>
        <v>1</v>
      </c>
      <c r="E48" s="50"/>
    </row>
    <row r="49" spans="1:5" ht="16.5">
      <c r="A49" s="39" t="s">
        <v>11</v>
      </c>
      <c r="B49" s="49">
        <f>+B36/D36</f>
        <v>0.3168523676880223</v>
      </c>
      <c r="C49" s="49">
        <f>+C36/D36</f>
        <v>0.6831476323119777</v>
      </c>
      <c r="D49" s="49">
        <f>SUM(B49:C49)</f>
        <v>1</v>
      </c>
      <c r="E49" s="50"/>
    </row>
    <row r="50" spans="1:5" ht="32.25" customHeight="1">
      <c r="A50" s="39" t="s">
        <v>24</v>
      </c>
      <c r="B50" s="49">
        <f>+B37/D37</f>
        <v>0.3647166361974406</v>
      </c>
      <c r="C50" s="49">
        <f>+C37/D37</f>
        <v>0.6352833638025595</v>
      </c>
      <c r="D50" s="49">
        <f>SUM(B50:C50)</f>
        <v>1</v>
      </c>
      <c r="E50" s="50"/>
    </row>
    <row r="51" spans="1:5" ht="16.5">
      <c r="A51" s="39" t="s">
        <v>13</v>
      </c>
      <c r="B51" s="49">
        <f>+B38/D38</f>
        <v>0.5703703703703704</v>
      </c>
      <c r="C51" s="49">
        <f>+C38/D38</f>
        <v>0.42962962962962964</v>
      </c>
      <c r="D51" s="49">
        <f>SUM(B51:C51)</f>
        <v>1</v>
      </c>
      <c r="E51" s="50"/>
    </row>
    <row r="52" spans="1:5" ht="16.5">
      <c r="A52" s="39" t="s">
        <v>14</v>
      </c>
      <c r="B52" s="49">
        <f>+B39/D39</f>
        <v>0.7243627741553053</v>
      </c>
      <c r="C52" s="49">
        <f>+C39/D39</f>
        <v>0.27563722584469474</v>
      </c>
      <c r="D52" s="49">
        <f>SUM(B52:C52)</f>
        <v>1</v>
      </c>
      <c r="E52" s="50"/>
    </row>
    <row r="53" spans="1:5" ht="16.5">
      <c r="A53" s="12"/>
      <c r="B53" s="51"/>
      <c r="C53" s="51"/>
      <c r="D53" s="51"/>
      <c r="E53" s="51"/>
    </row>
    <row r="54" spans="1:5" ht="12">
      <c r="A54" s="3"/>
      <c r="B54" s="3"/>
      <c r="C54" s="10"/>
      <c r="D54" s="3"/>
      <c r="E54" s="3"/>
    </row>
    <row r="55" spans="1:22" ht="15" customHeight="1">
      <c r="A55" s="263" t="s">
        <v>0</v>
      </c>
      <c r="B55" s="263"/>
      <c r="C55" s="263"/>
      <c r="D55" s="263"/>
      <c r="E55" s="263"/>
      <c r="F55" s="263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9.5" customHeight="1">
      <c r="A56" s="263" t="s">
        <v>48</v>
      </c>
      <c r="B56" s="263"/>
      <c r="C56" s="263"/>
      <c r="D56" s="263"/>
      <c r="E56" s="263"/>
      <c r="F56" s="263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7" ht="17.25" customHeight="1">
      <c r="A57" s="265" t="s">
        <v>36</v>
      </c>
      <c r="B57" s="265"/>
      <c r="C57" s="265"/>
      <c r="D57" s="265"/>
      <c r="E57" s="265"/>
      <c r="F57" s="265"/>
      <c r="G57" s="9"/>
    </row>
    <row r="58" spans="1:7" s="4" customFormat="1" ht="12.75">
      <c r="A58" s="62"/>
      <c r="B58" s="79">
        <f>909+209+56</f>
        <v>1174</v>
      </c>
      <c r="C58" s="63"/>
      <c r="D58" s="87">
        <f>654+165+42</f>
        <v>861</v>
      </c>
      <c r="E58" s="62"/>
      <c r="F58" s="62"/>
      <c r="G58" s="3"/>
    </row>
    <row r="59" spans="1:29" ht="15">
      <c r="A59" s="88" t="s">
        <v>4</v>
      </c>
      <c r="B59" s="89" t="s">
        <v>37</v>
      </c>
      <c r="C59" s="89" t="s">
        <v>38</v>
      </c>
      <c r="D59" s="90" t="s">
        <v>39</v>
      </c>
      <c r="E59" s="90" t="s">
        <v>40</v>
      </c>
      <c r="F59" s="91" t="s">
        <v>29</v>
      </c>
      <c r="G59"/>
      <c r="AB59" s="4"/>
      <c r="AC59" s="4"/>
    </row>
    <row r="60" spans="1:29" ht="18">
      <c r="A60" s="92" t="s">
        <v>13</v>
      </c>
      <c r="B60" s="84">
        <f>+'Enero-Marzo'!B63+'Abril-Junio'!B65+'Julio-Septiembre'!B65+'Octubre-Diciembre'!B64</f>
        <v>288</v>
      </c>
      <c r="C60" s="93">
        <f aca="true" t="shared" si="0" ref="C60:C65">+B60/F60</f>
        <v>0.6530612244897959</v>
      </c>
      <c r="D60" s="84">
        <f>+'Enero-Marzo'!D63+'Abril-Junio'!D65+'Julio-Septiembre'!D65+'Octubre-Diciembre'!D64</f>
        <v>153</v>
      </c>
      <c r="E60" s="93">
        <f aca="true" t="shared" si="1" ref="E60:E65">+D60/F60</f>
        <v>0.3469387755102041</v>
      </c>
      <c r="F60" s="84">
        <f>+B60+D60</f>
        <v>441</v>
      </c>
      <c r="G60"/>
      <c r="AB60" s="4"/>
      <c r="AC60" s="4"/>
    </row>
    <row r="61" spans="1:29" ht="30.75" customHeight="1">
      <c r="A61" s="92" t="s">
        <v>14</v>
      </c>
      <c r="B61" s="84">
        <v>2870</v>
      </c>
      <c r="C61" s="93">
        <f t="shared" si="0"/>
        <v>0.7590584501454641</v>
      </c>
      <c r="D61" s="84">
        <v>911</v>
      </c>
      <c r="E61" s="93">
        <f t="shared" si="1"/>
        <v>0.24094154985453584</v>
      </c>
      <c r="F61" s="84">
        <f>+B61+D61</f>
        <v>3781</v>
      </c>
      <c r="G61"/>
      <c r="AB61" s="4"/>
      <c r="AC61" s="4"/>
    </row>
    <row r="62" spans="1:29" ht="30.75" customHeight="1">
      <c r="A62" s="94" t="s">
        <v>10</v>
      </c>
      <c r="B62" s="84">
        <f>+'Enero-Marzo'!B65+'Abril-Junio'!B67+'Julio-Septiembre'!B67+'Octubre-Diciembre'!B66</f>
        <v>568</v>
      </c>
      <c r="C62" s="93">
        <f t="shared" si="0"/>
        <v>0.54510556621881</v>
      </c>
      <c r="D62" s="84">
        <f>+'Enero-Marzo'!D65+'Abril-Junio'!D67+'Julio-Septiembre'!D67+'Octubre-Diciembre'!D66</f>
        <v>474</v>
      </c>
      <c r="E62" s="93">
        <f t="shared" si="1"/>
        <v>0.45489443378119004</v>
      </c>
      <c r="F62" s="84">
        <f>+B62+D62</f>
        <v>1042</v>
      </c>
      <c r="G62"/>
      <c r="AB62" s="4"/>
      <c r="AC62" s="4"/>
    </row>
    <row r="63" spans="1:29" ht="25.5">
      <c r="A63" s="92" t="s">
        <v>24</v>
      </c>
      <c r="B63" s="84">
        <f>+'Enero-Marzo'!B66+'Abril-Junio'!B68+'Julio-Septiembre'!B68+'Octubre-Diciembre'!B67</f>
        <v>350</v>
      </c>
      <c r="C63" s="93">
        <f t="shared" si="0"/>
        <v>0.5401234567901234</v>
      </c>
      <c r="D63" s="84">
        <f>+'Enero-Marzo'!D66+'Abril-Junio'!D68+'Julio-Septiembre'!D68+'Octubre-Diciembre'!D67</f>
        <v>298</v>
      </c>
      <c r="E63" s="93">
        <f t="shared" si="1"/>
        <v>0.45987654320987653</v>
      </c>
      <c r="F63" s="84">
        <f>+B63+D63</f>
        <v>648</v>
      </c>
      <c r="G63"/>
      <c r="H63" s="57"/>
      <c r="AB63" s="4"/>
      <c r="AC63" s="4"/>
    </row>
    <row r="64" spans="1:29" ht="18">
      <c r="A64" s="94" t="s">
        <v>11</v>
      </c>
      <c r="B64" s="84">
        <f>+'Enero-Marzo'!B67+'Abril-Junio'!B69+'Julio-Septiembre'!B69+'Octubre-Diciembre'!B68</f>
        <v>258</v>
      </c>
      <c r="C64" s="93">
        <f t="shared" si="0"/>
        <v>0.5944700460829493</v>
      </c>
      <c r="D64" s="84">
        <f>+'Enero-Marzo'!D67+'Abril-Junio'!D69+'Julio-Septiembre'!D69+'Octubre-Diciembre'!D68</f>
        <v>176</v>
      </c>
      <c r="E64" s="93">
        <f t="shared" si="1"/>
        <v>0.4055299539170507</v>
      </c>
      <c r="F64" s="84">
        <f>+B64+D64</f>
        <v>434</v>
      </c>
      <c r="G64"/>
      <c r="AB64" s="4"/>
      <c r="AC64" s="4"/>
    </row>
    <row r="65" spans="1:29" ht="25.5">
      <c r="A65" s="96" t="s">
        <v>16</v>
      </c>
      <c r="B65" s="85">
        <f>SUM(B60:B64)</f>
        <v>4334</v>
      </c>
      <c r="C65" s="97">
        <f t="shared" si="0"/>
        <v>0.6829498896942956</v>
      </c>
      <c r="D65" s="85">
        <f>SUM(D60:D64)</f>
        <v>2012</v>
      </c>
      <c r="E65" s="97">
        <f t="shared" si="1"/>
        <v>0.3170501103057044</v>
      </c>
      <c r="F65" s="85">
        <f>SUM(F60:F64)</f>
        <v>6346</v>
      </c>
      <c r="G65"/>
      <c r="AB65" s="4"/>
      <c r="AC65" s="4"/>
    </row>
    <row r="66" spans="1:5" ht="12">
      <c r="A66" s="3"/>
      <c r="B66" s="3"/>
      <c r="C66" s="10"/>
      <c r="D66" s="3"/>
      <c r="E66" s="3"/>
    </row>
    <row r="67" spans="1:5" ht="12">
      <c r="A67" s="3"/>
      <c r="B67" s="58"/>
      <c r="C67" s="10"/>
      <c r="D67" s="3"/>
      <c r="E67" s="3"/>
    </row>
    <row r="68" spans="1:5" ht="12">
      <c r="A68" s="3"/>
      <c r="B68" s="3"/>
      <c r="C68" s="10"/>
      <c r="D68" s="3"/>
      <c r="E68" s="3"/>
    </row>
    <row r="69" spans="1:5" ht="12">
      <c r="A69" s="3"/>
      <c r="B69" s="3"/>
      <c r="C69" s="10"/>
      <c r="D69" s="3"/>
      <c r="E69" s="3"/>
    </row>
    <row r="70" spans="1:5" ht="12">
      <c r="A70" s="3"/>
      <c r="B70" s="3"/>
      <c r="C70" s="10"/>
      <c r="D70" s="3"/>
      <c r="E70" s="3"/>
    </row>
    <row r="71" spans="1:5" ht="12">
      <c r="A71" s="3"/>
      <c r="B71" s="3"/>
      <c r="C71" s="10"/>
      <c r="D71" s="3"/>
      <c r="E71" s="3"/>
    </row>
    <row r="72" spans="1:5" ht="12">
      <c r="A72" s="3"/>
      <c r="B72" s="3"/>
      <c r="C72" s="10"/>
      <c r="D72" s="3"/>
      <c r="E72" s="3"/>
    </row>
    <row r="73" spans="1:5" ht="12">
      <c r="A73" s="3"/>
      <c r="B73" s="3"/>
      <c r="C73" s="10"/>
      <c r="D73" s="3"/>
      <c r="E73" s="3"/>
    </row>
    <row r="74" spans="1:5" ht="21" customHeight="1">
      <c r="A74" s="3"/>
      <c r="B74" s="3"/>
      <c r="C74" s="10"/>
      <c r="D74" s="3"/>
      <c r="E74" s="3"/>
    </row>
    <row r="75" spans="1:5" ht="21" customHeight="1">
      <c r="A75" s="3"/>
      <c r="B75" s="3"/>
      <c r="C75" s="10"/>
      <c r="D75" s="3"/>
      <c r="E75" s="3"/>
    </row>
    <row r="76" spans="1:5" ht="18.75" customHeight="1">
      <c r="A76" s="3"/>
      <c r="B76" s="3"/>
      <c r="C76" s="10"/>
      <c r="D76" s="3"/>
      <c r="E76" s="3"/>
    </row>
    <row r="77" spans="1:5" ht="12">
      <c r="A77" s="3"/>
      <c r="B77" s="3"/>
      <c r="C77" s="10"/>
      <c r="D77" s="3"/>
      <c r="E77" s="3"/>
    </row>
    <row r="78" spans="1:5" ht="12">
      <c r="A78" s="3"/>
      <c r="B78" s="3"/>
      <c r="C78" s="10"/>
      <c r="D78" s="3"/>
      <c r="E78" s="3"/>
    </row>
    <row r="79" spans="1:5" ht="12">
      <c r="A79" s="3"/>
      <c r="B79" s="3"/>
      <c r="C79" s="10"/>
      <c r="D79" s="3"/>
      <c r="E79" s="3"/>
    </row>
    <row r="80" spans="1:5" ht="12">
      <c r="A80" s="3"/>
      <c r="B80" s="3"/>
      <c r="C80" s="10"/>
      <c r="D80" s="3"/>
      <c r="E80" s="3"/>
    </row>
    <row r="81" spans="1:5" ht="12">
      <c r="A81" s="3"/>
      <c r="B81" s="3"/>
      <c r="C81" s="10"/>
      <c r="D81" s="3"/>
      <c r="E81" s="3"/>
    </row>
    <row r="82" spans="1:5" ht="12">
      <c r="A82" s="3"/>
      <c r="B82" s="3"/>
      <c r="C82" s="10"/>
      <c r="D82" s="3"/>
      <c r="E82" s="3"/>
    </row>
    <row r="83" spans="1:5" ht="12">
      <c r="A83" s="3"/>
      <c r="B83" s="3"/>
      <c r="C83" s="10"/>
      <c r="D83" s="3"/>
      <c r="E83" s="3"/>
    </row>
    <row r="84" spans="1:5" ht="12">
      <c r="A84" s="3"/>
      <c r="B84" s="3"/>
      <c r="C84" s="10"/>
      <c r="D84" s="3"/>
      <c r="E84" s="3"/>
    </row>
    <row r="85" spans="1:5" ht="12">
      <c r="A85" s="3"/>
      <c r="B85" s="3"/>
      <c r="C85" s="10"/>
      <c r="D85" s="3"/>
      <c r="E85" s="3"/>
    </row>
    <row r="86" spans="1:5" ht="12">
      <c r="A86" s="3"/>
      <c r="B86" s="3"/>
      <c r="C86" s="10"/>
      <c r="D86" s="3"/>
      <c r="E86" s="3"/>
    </row>
    <row r="87" spans="1:5" ht="12">
      <c r="A87" s="3"/>
      <c r="B87" s="3"/>
      <c r="C87" s="10"/>
      <c r="D87" s="3"/>
      <c r="E87" s="3"/>
    </row>
    <row r="88" spans="1:5" ht="12">
      <c r="A88" s="3"/>
      <c r="B88" s="3"/>
      <c r="C88" s="10"/>
      <c r="D88" s="3"/>
      <c r="E88" s="3"/>
    </row>
    <row r="89" spans="1:5" ht="12">
      <c r="A89" s="3"/>
      <c r="B89" s="3"/>
      <c r="C89" s="10"/>
      <c r="D89" s="3"/>
      <c r="E89" s="3"/>
    </row>
    <row r="90" spans="1:5" ht="12">
      <c r="A90" s="3"/>
      <c r="B90" s="3"/>
      <c r="C90" s="10"/>
      <c r="D90" s="3"/>
      <c r="E90" s="3"/>
    </row>
    <row r="91" spans="1:5" ht="12">
      <c r="A91" s="3"/>
      <c r="B91" s="3"/>
      <c r="C91" s="10"/>
      <c r="D91" s="3"/>
      <c r="E91" s="3"/>
    </row>
    <row r="92" spans="1:5" ht="12">
      <c r="A92" s="3"/>
      <c r="B92" s="3"/>
      <c r="C92" s="10"/>
      <c r="D92" s="3"/>
      <c r="E92" s="3"/>
    </row>
    <row r="93" spans="1:5" ht="12">
      <c r="A93" s="3"/>
      <c r="B93" s="3"/>
      <c r="C93" s="10"/>
      <c r="D93" s="3"/>
      <c r="E93" s="3"/>
    </row>
    <row r="94" spans="1:5" ht="12">
      <c r="A94" s="3"/>
      <c r="B94" s="3"/>
      <c r="C94" s="10"/>
      <c r="D94" s="3"/>
      <c r="E94" s="3"/>
    </row>
    <row r="95" spans="1:5" ht="12">
      <c r="A95" s="3"/>
      <c r="B95" s="3"/>
      <c r="C95" s="10"/>
      <c r="D95" s="3"/>
      <c r="E95" s="3"/>
    </row>
    <row r="96" spans="1:5" ht="12">
      <c r="A96" s="3"/>
      <c r="B96" s="3"/>
      <c r="C96" s="10"/>
      <c r="D96" s="3"/>
      <c r="E96" s="3"/>
    </row>
    <row r="97" spans="1:5" ht="12">
      <c r="A97" s="3"/>
      <c r="B97" s="3"/>
      <c r="C97" s="10"/>
      <c r="D97" s="3"/>
      <c r="E97" s="3"/>
    </row>
    <row r="98" spans="1:5" ht="12">
      <c r="A98" s="3"/>
      <c r="B98" s="3"/>
      <c r="C98" s="10"/>
      <c r="D98" s="3"/>
      <c r="E98" s="3"/>
    </row>
    <row r="99" spans="1:5" ht="12">
      <c r="A99" s="3"/>
      <c r="B99" s="3"/>
      <c r="C99" s="10"/>
      <c r="D99" s="3"/>
      <c r="E99" s="3"/>
    </row>
    <row r="100" spans="1:5" ht="12">
      <c r="A100" s="3"/>
      <c r="B100" s="3"/>
      <c r="C100" s="10"/>
      <c r="D100" s="3"/>
      <c r="E100" s="3"/>
    </row>
    <row r="101" spans="1:5" ht="12">
      <c r="A101" s="3"/>
      <c r="B101" s="3"/>
      <c r="C101" s="10"/>
      <c r="D101" s="3"/>
      <c r="E101" s="3"/>
    </row>
    <row r="102" spans="1:5" ht="12">
      <c r="A102" s="3"/>
      <c r="B102" s="3"/>
      <c r="C102" s="10"/>
      <c r="D102" s="3"/>
      <c r="E102" s="3"/>
    </row>
    <row r="103" spans="1:5" ht="12">
      <c r="A103" s="3"/>
      <c r="B103" s="3"/>
      <c r="C103" s="10"/>
      <c r="D103" s="3"/>
      <c r="E103" s="3"/>
    </row>
    <row r="104" spans="1:5" ht="12">
      <c r="A104" s="3"/>
      <c r="B104" s="3"/>
      <c r="C104" s="10"/>
      <c r="D104" s="3"/>
      <c r="E104" s="3"/>
    </row>
    <row r="105" spans="1:5" ht="12">
      <c r="A105" s="3"/>
      <c r="B105" s="3"/>
      <c r="C105" s="10"/>
      <c r="D105" s="3"/>
      <c r="E105" s="3"/>
    </row>
    <row r="106" spans="1:5" ht="12">
      <c r="A106" s="3"/>
      <c r="B106" s="3"/>
      <c r="C106" s="10"/>
      <c r="D106" s="3"/>
      <c r="E106" s="3"/>
    </row>
    <row r="107" spans="1:5" ht="12">
      <c r="A107" s="3"/>
      <c r="B107" s="3"/>
      <c r="C107" s="10"/>
      <c r="D107" s="3"/>
      <c r="E107" s="3"/>
    </row>
    <row r="108" spans="1:5" ht="12">
      <c r="A108" s="3"/>
      <c r="B108" s="3"/>
      <c r="C108" s="10"/>
      <c r="D108" s="3"/>
      <c r="E108" s="3"/>
    </row>
    <row r="109" spans="1:5" ht="12">
      <c r="A109" s="3"/>
      <c r="B109" s="3"/>
      <c r="C109" s="10"/>
      <c r="D109" s="3"/>
      <c r="E109" s="3"/>
    </row>
    <row r="110" spans="1:5" ht="12">
      <c r="A110" s="3"/>
      <c r="B110" s="3"/>
      <c r="C110" s="10"/>
      <c r="D110" s="3"/>
      <c r="E110" s="3"/>
    </row>
    <row r="111" spans="1:5" ht="12">
      <c r="A111" s="3"/>
      <c r="B111" s="3"/>
      <c r="C111" s="10"/>
      <c r="D111" s="3"/>
      <c r="E111" s="3"/>
    </row>
    <row r="112" spans="1:5" ht="12">
      <c r="A112" s="3"/>
      <c r="B112" s="3"/>
      <c r="C112" s="10"/>
      <c r="D112" s="3"/>
      <c r="E112" s="3"/>
    </row>
    <row r="113" spans="1:5" ht="12">
      <c r="A113" s="3"/>
      <c r="B113" s="3"/>
      <c r="C113" s="10"/>
      <c r="D113" s="3"/>
      <c r="E113" s="3"/>
    </row>
    <row r="114" spans="1:5" ht="12">
      <c r="A114" s="3"/>
      <c r="B114" s="3"/>
      <c r="C114" s="10"/>
      <c r="D114" s="3"/>
      <c r="E114" s="3"/>
    </row>
    <row r="115" spans="1:5" ht="12">
      <c r="A115" s="3"/>
      <c r="B115" s="3"/>
      <c r="C115" s="10"/>
      <c r="D115" s="3"/>
      <c r="E115" s="3"/>
    </row>
    <row r="116" spans="1:5" ht="12">
      <c r="A116" s="3"/>
      <c r="B116" s="3"/>
      <c r="C116" s="10"/>
      <c r="D116" s="3"/>
      <c r="E116" s="3"/>
    </row>
    <row r="117" spans="1:5" ht="12">
      <c r="A117" s="3"/>
      <c r="B117" s="3"/>
      <c r="C117" s="10"/>
      <c r="D117" s="3"/>
      <c r="E117" s="3"/>
    </row>
    <row r="118" spans="1:5" ht="12">
      <c r="A118" s="3"/>
      <c r="B118" s="3"/>
      <c r="C118" s="10"/>
      <c r="D118" s="3"/>
      <c r="E118" s="3"/>
    </row>
    <row r="119" spans="1:5" ht="12">
      <c r="A119" s="3"/>
      <c r="B119" s="3"/>
      <c r="C119" s="10"/>
      <c r="D119" s="3"/>
      <c r="E119" s="3"/>
    </row>
    <row r="120" spans="1:5" ht="12">
      <c r="A120" s="3"/>
      <c r="B120" s="3"/>
      <c r="C120" s="10"/>
      <c r="D120" s="3"/>
      <c r="E120" s="3"/>
    </row>
    <row r="121" spans="1:5" ht="12">
      <c r="A121" s="3"/>
      <c r="B121" s="3"/>
      <c r="C121" s="10"/>
      <c r="D121" s="3"/>
      <c r="E121" s="3"/>
    </row>
    <row r="122" spans="1:5" ht="12">
      <c r="A122" s="3"/>
      <c r="B122" s="3"/>
      <c r="C122" s="10"/>
      <c r="D122" s="3"/>
      <c r="E122" s="3"/>
    </row>
    <row r="123" spans="1:5" ht="12">
      <c r="A123" s="3"/>
      <c r="B123" s="3"/>
      <c r="C123" s="10"/>
      <c r="D123" s="3"/>
      <c r="E123" s="3"/>
    </row>
    <row r="124" spans="1:5" ht="12">
      <c r="A124" s="3"/>
      <c r="B124" s="3"/>
      <c r="C124" s="10"/>
      <c r="D124" s="3"/>
      <c r="E124" s="3"/>
    </row>
    <row r="125" spans="1:5" ht="12">
      <c r="A125" s="3"/>
      <c r="B125" s="3"/>
      <c r="C125" s="10"/>
      <c r="D125" s="3"/>
      <c r="E125" s="3"/>
    </row>
    <row r="126" spans="1:5" ht="12">
      <c r="A126" s="3"/>
      <c r="B126" s="3"/>
      <c r="C126" s="10"/>
      <c r="D126" s="3"/>
      <c r="E126" s="3"/>
    </row>
    <row r="127" spans="1:5" ht="12">
      <c r="A127" s="3"/>
      <c r="B127" s="3"/>
      <c r="C127" s="10"/>
      <c r="D127" s="3"/>
      <c r="E127" s="3"/>
    </row>
    <row r="128" spans="1:5" ht="12">
      <c r="A128" s="3"/>
      <c r="B128" s="3"/>
      <c r="C128" s="10"/>
      <c r="D128" s="3"/>
      <c r="E128" s="3"/>
    </row>
    <row r="129" spans="1:5" ht="12">
      <c r="A129" s="3"/>
      <c r="B129" s="3"/>
      <c r="C129" s="10"/>
      <c r="D129" s="3"/>
      <c r="E129" s="3"/>
    </row>
    <row r="130" spans="1:5" ht="12">
      <c r="A130" s="3"/>
      <c r="B130" s="3"/>
      <c r="C130" s="10"/>
      <c r="D130" s="3"/>
      <c r="E130" s="3"/>
    </row>
    <row r="131" spans="1:5" ht="12">
      <c r="A131" s="3"/>
      <c r="B131" s="3"/>
      <c r="C131" s="10"/>
      <c r="D131" s="3"/>
      <c r="E131" s="3"/>
    </row>
    <row r="132" spans="1:5" ht="12">
      <c r="A132" s="3"/>
      <c r="B132" s="3"/>
      <c r="C132" s="10"/>
      <c r="D132" s="3"/>
      <c r="E132" s="3"/>
    </row>
    <row r="133" spans="1:5" ht="12">
      <c r="A133" s="3"/>
      <c r="B133" s="3"/>
      <c r="C133" s="10"/>
      <c r="D133" s="3"/>
      <c r="E133" s="3"/>
    </row>
    <row r="134" spans="1:5" ht="12">
      <c r="A134" s="3"/>
      <c r="B134" s="3"/>
      <c r="C134" s="10"/>
      <c r="D134" s="3"/>
      <c r="E134" s="3"/>
    </row>
    <row r="135" spans="1:5" ht="12">
      <c r="A135" s="3"/>
      <c r="B135" s="3"/>
      <c r="C135" s="10"/>
      <c r="D135" s="3"/>
      <c r="E135" s="3"/>
    </row>
    <row r="136" spans="1:5" ht="12">
      <c r="A136" s="3"/>
      <c r="B136" s="3"/>
      <c r="C136" s="10"/>
      <c r="D136" s="3"/>
      <c r="E136" s="3"/>
    </row>
    <row r="137" spans="1:5" ht="12">
      <c r="A137" s="3"/>
      <c r="B137" s="3"/>
      <c r="C137" s="10"/>
      <c r="D137" s="3"/>
      <c r="E137" s="3"/>
    </row>
    <row r="138" spans="1:5" ht="12">
      <c r="A138" s="3"/>
      <c r="B138" s="3"/>
      <c r="C138" s="10"/>
      <c r="D138" s="3"/>
      <c r="E138" s="3"/>
    </row>
    <row r="139" spans="1:5" ht="12">
      <c r="A139" s="3"/>
      <c r="B139" s="3"/>
      <c r="C139" s="10"/>
      <c r="D139" s="3"/>
      <c r="E139" s="3"/>
    </row>
    <row r="140" spans="1:5" ht="12">
      <c r="A140" s="3"/>
      <c r="B140" s="3"/>
      <c r="C140" s="10"/>
      <c r="D140" s="3"/>
      <c r="E140" s="3"/>
    </row>
    <row r="141" spans="1:5" ht="12">
      <c r="A141" s="3"/>
      <c r="B141" s="3"/>
      <c r="C141" s="10"/>
      <c r="D141" s="3"/>
      <c r="E141" s="3"/>
    </row>
    <row r="142" spans="1:5" ht="12">
      <c r="A142" s="3"/>
      <c r="B142" s="3"/>
      <c r="C142" s="10"/>
      <c r="D142" s="3"/>
      <c r="E142" s="3"/>
    </row>
    <row r="143" spans="1:5" ht="12">
      <c r="A143" s="3"/>
      <c r="B143" s="3"/>
      <c r="C143" s="10"/>
      <c r="D143" s="3"/>
      <c r="E143" s="3"/>
    </row>
    <row r="144" spans="1:5" ht="12">
      <c r="A144" s="3"/>
      <c r="B144" s="3"/>
      <c r="C144" s="10"/>
      <c r="D144" s="3"/>
      <c r="E144" s="3"/>
    </row>
    <row r="145" spans="1:5" ht="12">
      <c r="A145" s="3"/>
      <c r="B145" s="3"/>
      <c r="C145" s="10"/>
      <c r="D145" s="3"/>
      <c r="E145" s="3"/>
    </row>
    <row r="146" spans="1:5" ht="12">
      <c r="A146" s="3"/>
      <c r="B146" s="3"/>
      <c r="C146" s="10"/>
      <c r="D146" s="3"/>
      <c r="E146" s="3"/>
    </row>
    <row r="147" spans="1:5" ht="12">
      <c r="A147" s="3"/>
      <c r="B147" s="3"/>
      <c r="C147" s="10"/>
      <c r="D147" s="3"/>
      <c r="E147" s="3"/>
    </row>
    <row r="148" spans="1:5" ht="12">
      <c r="A148" s="3"/>
      <c r="B148" s="3"/>
      <c r="C148" s="10"/>
      <c r="D148" s="3"/>
      <c r="E148" s="3"/>
    </row>
    <row r="149" spans="1:5" ht="12">
      <c r="A149" s="3"/>
      <c r="B149" s="3"/>
      <c r="C149" s="10"/>
      <c r="D149" s="3"/>
      <c r="E149" s="3"/>
    </row>
    <row r="150" spans="1:5" ht="12">
      <c r="A150" s="3"/>
      <c r="B150" s="3"/>
      <c r="C150" s="10"/>
      <c r="D150" s="3"/>
      <c r="E150" s="3"/>
    </row>
    <row r="151" spans="1:5" ht="12">
      <c r="A151" s="3"/>
      <c r="B151" s="3"/>
      <c r="C151" s="10"/>
      <c r="D151" s="3"/>
      <c r="E151" s="3"/>
    </row>
    <row r="152" spans="1:5" ht="12">
      <c r="A152" s="3"/>
      <c r="B152" s="3"/>
      <c r="C152" s="10"/>
      <c r="D152" s="3"/>
      <c r="E152" s="3"/>
    </row>
    <row r="153" spans="1:5" ht="12">
      <c r="A153" s="3"/>
      <c r="B153" s="3"/>
      <c r="C153" s="10"/>
      <c r="D153" s="3"/>
      <c r="E153" s="3"/>
    </row>
    <row r="154" spans="1:5" ht="12">
      <c r="A154" s="3"/>
      <c r="B154" s="3"/>
      <c r="C154" s="10"/>
      <c r="D154" s="3"/>
      <c r="E154" s="3"/>
    </row>
    <row r="155" spans="1:5" ht="12">
      <c r="A155" s="3"/>
      <c r="B155" s="3"/>
      <c r="C155" s="10"/>
      <c r="D155" s="3"/>
      <c r="E155" s="3"/>
    </row>
    <row r="156" spans="1:5" ht="12">
      <c r="A156" s="3"/>
      <c r="B156" s="3"/>
      <c r="C156" s="10"/>
      <c r="D156" s="3"/>
      <c r="E156" s="3"/>
    </row>
    <row r="157" spans="1:5" ht="12">
      <c r="A157" s="3"/>
      <c r="B157" s="3"/>
      <c r="C157" s="10"/>
      <c r="D157" s="3"/>
      <c r="E157" s="3"/>
    </row>
    <row r="158" spans="1:5" ht="12">
      <c r="A158" s="3"/>
      <c r="B158" s="3"/>
      <c r="C158" s="10"/>
      <c r="D158" s="3"/>
      <c r="E158" s="3"/>
    </row>
    <row r="159" spans="1:5" ht="12">
      <c r="A159" s="3"/>
      <c r="B159" s="3"/>
      <c r="C159" s="10"/>
      <c r="D159" s="3"/>
      <c r="E159" s="3"/>
    </row>
    <row r="160" spans="1:5" ht="12">
      <c r="A160" s="3"/>
      <c r="B160" s="3"/>
      <c r="C160" s="10"/>
      <c r="D160" s="3"/>
      <c r="E160" s="3"/>
    </row>
    <row r="161" spans="1:5" ht="12">
      <c r="A161" s="3"/>
      <c r="B161" s="3"/>
      <c r="C161" s="10"/>
      <c r="D161" s="3"/>
      <c r="E161" s="3"/>
    </row>
    <row r="162" spans="1:5" ht="12">
      <c r="A162" s="3"/>
      <c r="B162" s="3"/>
      <c r="C162" s="10"/>
      <c r="D162" s="3"/>
      <c r="E162" s="3"/>
    </row>
    <row r="163" spans="1:5" ht="12">
      <c r="A163" s="3"/>
      <c r="B163" s="3"/>
      <c r="C163" s="10"/>
      <c r="D163" s="3"/>
      <c r="E163" s="3"/>
    </row>
    <row r="164" spans="1:5" ht="12">
      <c r="A164" s="3"/>
      <c r="B164" s="3"/>
      <c r="C164" s="10"/>
      <c r="D164" s="3"/>
      <c r="E164" s="3"/>
    </row>
    <row r="165" spans="1:5" ht="12">
      <c r="A165" s="3"/>
      <c r="B165" s="3"/>
      <c r="C165" s="10"/>
      <c r="D165" s="3"/>
      <c r="E165" s="3"/>
    </row>
    <row r="166" spans="1:5" ht="12">
      <c r="A166" s="3"/>
      <c r="B166" s="3"/>
      <c r="C166" s="10"/>
      <c r="D166" s="3"/>
      <c r="E166" s="3"/>
    </row>
    <row r="167" spans="1:5" ht="12">
      <c r="A167" s="3"/>
      <c r="B167" s="3"/>
      <c r="C167" s="10"/>
      <c r="D167" s="3"/>
      <c r="E167" s="3"/>
    </row>
    <row r="168" spans="1:5" ht="12">
      <c r="A168" s="3"/>
      <c r="B168" s="3"/>
      <c r="C168" s="10"/>
      <c r="D168" s="3"/>
      <c r="E168" s="3"/>
    </row>
    <row r="169" spans="1:5" ht="12">
      <c r="A169" s="3"/>
      <c r="B169" s="3"/>
      <c r="C169" s="10"/>
      <c r="D169" s="3"/>
      <c r="E169" s="3"/>
    </row>
    <row r="170" spans="1:5" ht="12">
      <c r="A170" s="3"/>
      <c r="B170" s="3"/>
      <c r="C170" s="10"/>
      <c r="D170" s="3"/>
      <c r="E170" s="3"/>
    </row>
    <row r="171" spans="1:5" ht="12">
      <c r="A171" s="3"/>
      <c r="B171" s="3"/>
      <c r="C171" s="10"/>
      <c r="D171" s="3"/>
      <c r="E171" s="3"/>
    </row>
    <row r="172" spans="1:5" ht="12">
      <c r="A172" s="3"/>
      <c r="B172" s="3"/>
      <c r="C172" s="10"/>
      <c r="D172" s="3"/>
      <c r="E172" s="3"/>
    </row>
    <row r="173" spans="1:5" ht="12">
      <c r="A173" s="3"/>
      <c r="B173" s="3"/>
      <c r="C173" s="10"/>
      <c r="D173" s="3"/>
      <c r="E173" s="3"/>
    </row>
    <row r="174" spans="1:5" ht="12">
      <c r="A174" s="3"/>
      <c r="B174" s="3"/>
      <c r="C174" s="10"/>
      <c r="D174" s="3"/>
      <c r="E174" s="3"/>
    </row>
    <row r="175" spans="1:5" ht="12">
      <c r="A175" s="3"/>
      <c r="B175" s="3"/>
      <c r="C175" s="10"/>
      <c r="D175" s="3"/>
      <c r="E175" s="3"/>
    </row>
    <row r="176" spans="1:5" ht="12">
      <c r="A176" s="3"/>
      <c r="B176" s="3"/>
      <c r="C176" s="10"/>
      <c r="D176" s="3"/>
      <c r="E176" s="3"/>
    </row>
    <row r="177" spans="1:5" ht="12">
      <c r="A177" s="3"/>
      <c r="B177" s="3"/>
      <c r="C177" s="10"/>
      <c r="D177" s="3"/>
      <c r="E177" s="3"/>
    </row>
    <row r="178" spans="1:5" ht="12">
      <c r="A178" s="3"/>
      <c r="B178" s="3"/>
      <c r="C178" s="10"/>
      <c r="D178" s="3"/>
      <c r="E178" s="3"/>
    </row>
    <row r="179" spans="1:5" ht="12">
      <c r="A179" s="3"/>
      <c r="B179" s="3"/>
      <c r="C179" s="10"/>
      <c r="D179" s="3"/>
      <c r="E179" s="3"/>
    </row>
    <row r="180" spans="1:5" ht="12">
      <c r="A180" s="3"/>
      <c r="B180" s="3"/>
      <c r="C180" s="10"/>
      <c r="D180" s="3"/>
      <c r="E180" s="3"/>
    </row>
    <row r="181" spans="1:5" ht="12">
      <c r="A181" s="3"/>
      <c r="B181" s="3"/>
      <c r="C181" s="10"/>
      <c r="D181" s="3"/>
      <c r="E181" s="3"/>
    </row>
    <row r="182" spans="1:5" ht="12">
      <c r="A182" s="3"/>
      <c r="B182" s="3"/>
      <c r="C182" s="10"/>
      <c r="D182" s="3"/>
      <c r="E182" s="3"/>
    </row>
    <row r="183" spans="1:5" ht="12">
      <c r="A183" s="3"/>
      <c r="B183" s="3"/>
      <c r="C183" s="10"/>
      <c r="D183" s="3"/>
      <c r="E183" s="3"/>
    </row>
    <row r="184" spans="1:5" ht="12">
      <c r="A184" s="3"/>
      <c r="B184" s="3"/>
      <c r="C184" s="10"/>
      <c r="D184" s="3"/>
      <c r="E184" s="3"/>
    </row>
    <row r="185" spans="1:5" ht="12">
      <c r="A185" s="3"/>
      <c r="B185" s="3"/>
      <c r="C185" s="10"/>
      <c r="D185" s="3"/>
      <c r="E185" s="3"/>
    </row>
    <row r="186" spans="1:5" ht="12">
      <c r="A186" s="3"/>
      <c r="B186" s="3"/>
      <c r="C186" s="10"/>
      <c r="D186" s="3"/>
      <c r="E186" s="3"/>
    </row>
    <row r="187" spans="1:5" ht="12">
      <c r="A187" s="3"/>
      <c r="B187" s="3"/>
      <c r="C187" s="10"/>
      <c r="D187" s="3"/>
      <c r="E187" s="3"/>
    </row>
    <row r="188" spans="1:5" ht="12">
      <c r="A188" s="3"/>
      <c r="B188" s="3"/>
      <c r="C188" s="10"/>
      <c r="D188" s="3"/>
      <c r="E188" s="3"/>
    </row>
    <row r="189" spans="1:5" ht="12">
      <c r="A189" s="3"/>
      <c r="B189" s="3"/>
      <c r="C189" s="10"/>
      <c r="D189" s="3"/>
      <c r="E189" s="3"/>
    </row>
    <row r="190" spans="1:5" ht="12">
      <c r="A190" s="3"/>
      <c r="B190" s="3"/>
      <c r="C190" s="10"/>
      <c r="D190" s="3"/>
      <c r="E190" s="3"/>
    </row>
    <row r="191" spans="1:5" ht="12">
      <c r="A191" s="3"/>
      <c r="B191" s="3"/>
      <c r="C191" s="10"/>
      <c r="D191" s="3"/>
      <c r="E191" s="3"/>
    </row>
    <row r="192" spans="1:5" ht="12">
      <c r="A192" s="3"/>
      <c r="B192" s="3"/>
      <c r="C192" s="10"/>
      <c r="D192" s="3"/>
      <c r="E192" s="3"/>
    </row>
    <row r="193" spans="1:5" ht="12">
      <c r="A193" s="3"/>
      <c r="B193" s="3"/>
      <c r="C193" s="10"/>
      <c r="D193" s="3"/>
      <c r="E193" s="3"/>
    </row>
  </sheetData>
  <sheetProtection selectLockedCells="1" selectUnlockedCells="1"/>
  <mergeCells count="16">
    <mergeCell ref="A46:D46"/>
    <mergeCell ref="A55:F55"/>
    <mergeCell ref="A56:F56"/>
    <mergeCell ref="A57:F57"/>
    <mergeCell ref="A19:F19"/>
    <mergeCell ref="A31:D31"/>
    <mergeCell ref="A32:D32"/>
    <mergeCell ref="A33:D33"/>
    <mergeCell ref="A44:D44"/>
    <mergeCell ref="A45:D45"/>
    <mergeCell ref="A1:F1"/>
    <mergeCell ref="A2:F2"/>
    <mergeCell ref="A3:F3"/>
    <mergeCell ref="C4:D4"/>
    <mergeCell ref="A17:F17"/>
    <mergeCell ref="A18:F18"/>
  </mergeCells>
  <printOptions/>
  <pageMargins left="0.7" right="0.7" top="1.25" bottom="0.75" header="0.5118055555555555" footer="0.5118055555555555"/>
  <pageSetup horizontalDpi="300" verticalDpi="300" orientation="landscape" scale="3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88"/>
  <sheetViews>
    <sheetView zoomScale="65" zoomScaleNormal="65" zoomScaleSheetLayoutView="65" workbookViewId="0" topLeftCell="A1">
      <selection activeCell="AL186" activeCellId="1" sqref="N57:N58 AL186"/>
    </sheetView>
  </sheetViews>
  <sheetFormatPr defaultColWidth="11.421875" defaultRowHeight="12.75" outlineLevelRow="1" outlineLevelCol="1"/>
  <cols>
    <col min="1" max="1" width="11.421875" style="101" customWidth="1"/>
    <col min="2" max="2" width="70.8515625" style="101" customWidth="1"/>
    <col min="3" max="3" width="0" style="101" hidden="1" customWidth="1" outlineLevel="1"/>
    <col min="4" max="4" width="0" style="102" hidden="1" customWidth="1" outlineLevel="1"/>
    <col min="5" max="8" width="0" style="103" hidden="1" customWidth="1" outlineLevel="1"/>
    <col min="9" max="9" width="0" style="104" hidden="1" customWidth="1" outlineLevel="1"/>
    <col min="10" max="10" width="11.421875" style="105" customWidth="1"/>
    <col min="11" max="15" width="0" style="101" hidden="1" customWidth="1" outlineLevel="1"/>
    <col min="16" max="17" width="0" style="106" hidden="1" customWidth="1" outlineLevel="1"/>
    <col min="18" max="18" width="17.7109375" style="107" customWidth="1"/>
    <col min="19" max="19" width="12.8515625" style="108" customWidth="1"/>
    <col min="20" max="24" width="0" style="101" hidden="1" customWidth="1" outlineLevel="1"/>
    <col min="25" max="26" width="0" style="106" hidden="1" customWidth="1" outlineLevel="1"/>
    <col min="27" max="27" width="13.140625" style="109" customWidth="1"/>
    <col min="28" max="28" width="11.421875" style="110" customWidth="1"/>
    <col min="29" max="33" width="0" style="101" hidden="1" customWidth="1" outlineLevel="1"/>
    <col min="34" max="35" width="0" style="111" hidden="1" customWidth="1" outlineLevel="1"/>
    <col min="36" max="36" width="9.421875" style="109" customWidth="1"/>
    <col min="37" max="37" width="11.421875" style="112" customWidth="1"/>
    <col min="38" max="251" width="11.421875" style="101" customWidth="1"/>
  </cols>
  <sheetData>
    <row r="1" spans="1:37" s="112" customFormat="1" ht="12.7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</row>
    <row r="2" spans="1:37" s="112" customFormat="1" ht="12.75" customHeight="1">
      <c r="A2" s="267" t="s">
        <v>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</row>
    <row r="3" spans="1:37" s="112" customFormat="1" ht="12.75" customHeight="1">
      <c r="A3" s="267" t="s">
        <v>50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</row>
    <row r="4" spans="1:37" ht="30.75" customHeight="1">
      <c r="A4" s="268" t="s">
        <v>51</v>
      </c>
      <c r="B4" s="269" t="s">
        <v>52</v>
      </c>
      <c r="C4" s="269" t="s">
        <v>53</v>
      </c>
      <c r="D4" s="270" t="s">
        <v>54</v>
      </c>
      <c r="E4" s="269" t="s">
        <v>55</v>
      </c>
      <c r="F4" s="113"/>
      <c r="G4" s="269" t="s">
        <v>56</v>
      </c>
      <c r="H4" s="269"/>
      <c r="I4" s="269" t="s">
        <v>57</v>
      </c>
      <c r="J4" s="269" t="s">
        <v>45</v>
      </c>
      <c r="K4" s="269" t="s">
        <v>58</v>
      </c>
      <c r="L4" s="269"/>
      <c r="M4" s="269"/>
      <c r="N4" s="269"/>
      <c r="O4" s="269"/>
      <c r="P4" s="269"/>
      <c r="Q4" s="269"/>
      <c r="R4" s="269"/>
      <c r="S4" s="271" t="s">
        <v>59</v>
      </c>
      <c r="T4" s="269" t="s">
        <v>60</v>
      </c>
      <c r="U4" s="269"/>
      <c r="V4" s="269"/>
      <c r="W4" s="269"/>
      <c r="X4" s="269"/>
      <c r="Y4" s="269"/>
      <c r="Z4" s="269"/>
      <c r="AA4" s="272" t="s">
        <v>61</v>
      </c>
      <c r="AB4" s="269" t="s">
        <v>62</v>
      </c>
      <c r="AC4" s="269" t="s">
        <v>63</v>
      </c>
      <c r="AD4" s="269"/>
      <c r="AE4" s="269"/>
      <c r="AF4" s="269"/>
      <c r="AG4" s="269"/>
      <c r="AH4" s="269"/>
      <c r="AI4" s="269"/>
      <c r="AJ4" s="272" t="s">
        <v>64</v>
      </c>
      <c r="AK4" s="269" t="s">
        <v>62</v>
      </c>
    </row>
    <row r="5" spans="1:37" ht="409.5">
      <c r="A5" s="268"/>
      <c r="B5" s="269"/>
      <c r="C5" s="269"/>
      <c r="D5" s="270"/>
      <c r="E5" s="269"/>
      <c r="F5" s="114" t="s">
        <v>65</v>
      </c>
      <c r="G5" s="114" t="s">
        <v>27</v>
      </c>
      <c r="H5" s="114" t="s">
        <v>28</v>
      </c>
      <c r="I5" s="269"/>
      <c r="J5" s="269"/>
      <c r="K5" s="115" t="s">
        <v>66</v>
      </c>
      <c r="L5" s="115" t="s">
        <v>67</v>
      </c>
      <c r="M5" s="115" t="s">
        <v>43</v>
      </c>
      <c r="N5" s="115" t="s">
        <v>68</v>
      </c>
      <c r="O5" s="115" t="s">
        <v>69</v>
      </c>
      <c r="P5" s="115" t="s">
        <v>70</v>
      </c>
      <c r="Q5" s="115" t="s">
        <v>71</v>
      </c>
      <c r="R5" s="114" t="s">
        <v>72</v>
      </c>
      <c r="S5" s="271"/>
      <c r="T5" s="115" t="s">
        <v>66</v>
      </c>
      <c r="U5" s="115" t="s">
        <v>67</v>
      </c>
      <c r="V5" s="115" t="s">
        <v>43</v>
      </c>
      <c r="W5" s="115" t="s">
        <v>68</v>
      </c>
      <c r="X5" s="115" t="s">
        <v>69</v>
      </c>
      <c r="Y5" s="115" t="s">
        <v>70</v>
      </c>
      <c r="Z5" s="115" t="s">
        <v>71</v>
      </c>
      <c r="AA5" s="272"/>
      <c r="AB5" s="269"/>
      <c r="AC5" s="115" t="s">
        <v>66</v>
      </c>
      <c r="AD5" s="115" t="s">
        <v>67</v>
      </c>
      <c r="AE5" s="115" t="s">
        <v>43</v>
      </c>
      <c r="AF5" s="115" t="s">
        <v>68</v>
      </c>
      <c r="AG5" s="115" t="s">
        <v>69</v>
      </c>
      <c r="AH5" s="115" t="s">
        <v>70</v>
      </c>
      <c r="AI5" s="115" t="s">
        <v>71</v>
      </c>
      <c r="AJ5" s="272"/>
      <c r="AK5" s="269"/>
    </row>
    <row r="6" spans="1:37" s="125" customFormat="1" ht="19.5">
      <c r="A6" s="116"/>
      <c r="B6" s="117" t="s">
        <v>73</v>
      </c>
      <c r="C6" s="118"/>
      <c r="D6" s="118"/>
      <c r="E6" s="119"/>
      <c r="F6" s="119"/>
      <c r="G6" s="119">
        <f>+G7+G19</f>
        <v>653</v>
      </c>
      <c r="H6" s="119">
        <f>+H7+H19</f>
        <v>1081</v>
      </c>
      <c r="I6" s="119"/>
      <c r="J6" s="120">
        <f aca="true" t="shared" si="0" ref="J6:R6">+J7+J19</f>
        <v>1072</v>
      </c>
      <c r="K6" s="121">
        <f t="shared" si="0"/>
        <v>284</v>
      </c>
      <c r="L6" s="121">
        <f t="shared" si="0"/>
        <v>57</v>
      </c>
      <c r="M6" s="121">
        <f t="shared" si="0"/>
        <v>0</v>
      </c>
      <c r="N6" s="121">
        <f t="shared" si="0"/>
        <v>44</v>
      </c>
      <c r="O6" s="121">
        <f t="shared" si="0"/>
        <v>260</v>
      </c>
      <c r="P6" s="121">
        <f t="shared" si="0"/>
        <v>379</v>
      </c>
      <c r="Q6" s="121">
        <f t="shared" si="0"/>
        <v>229</v>
      </c>
      <c r="R6" s="120">
        <f t="shared" si="0"/>
        <v>645</v>
      </c>
      <c r="S6" s="122">
        <f aca="true" t="shared" si="1" ref="S6:S37">+R6/J6</f>
        <v>0.601679104477612</v>
      </c>
      <c r="T6" s="119">
        <f aca="true" t="shared" si="2" ref="T6:Z6">SUM(T8:T17)</f>
        <v>20</v>
      </c>
      <c r="U6" s="119">
        <f t="shared" si="2"/>
        <v>5</v>
      </c>
      <c r="V6" s="119">
        <f t="shared" si="2"/>
        <v>0</v>
      </c>
      <c r="W6" s="119">
        <f t="shared" si="2"/>
        <v>4</v>
      </c>
      <c r="X6" s="119">
        <f t="shared" si="2"/>
        <v>34</v>
      </c>
      <c r="Y6" s="119">
        <f t="shared" si="2"/>
        <v>48</v>
      </c>
      <c r="Z6" s="119">
        <f t="shared" si="2"/>
        <v>15</v>
      </c>
      <c r="AA6" s="123">
        <f>+AA7+AA19</f>
        <v>330</v>
      </c>
      <c r="AB6" s="124">
        <f aca="true" t="shared" si="3" ref="AB6:AB37">+AA6/J6</f>
        <v>0.30783582089552236</v>
      </c>
      <c r="AC6" s="119">
        <f aca="true" t="shared" si="4" ref="AC6:AJ6">+AC7+AC19</f>
        <v>7</v>
      </c>
      <c r="AD6" s="119">
        <f t="shared" si="4"/>
        <v>9</v>
      </c>
      <c r="AE6" s="119">
        <f t="shared" si="4"/>
        <v>0</v>
      </c>
      <c r="AF6" s="119">
        <f t="shared" si="4"/>
        <v>9</v>
      </c>
      <c r="AG6" s="119">
        <f t="shared" si="4"/>
        <v>72</v>
      </c>
      <c r="AH6" s="119">
        <f t="shared" si="4"/>
        <v>65</v>
      </c>
      <c r="AI6" s="119">
        <f t="shared" si="4"/>
        <v>31</v>
      </c>
      <c r="AJ6" s="123">
        <f t="shared" si="4"/>
        <v>97</v>
      </c>
      <c r="AK6" s="124">
        <f aca="true" t="shared" si="5" ref="AK6:AK42">+AJ6/J6</f>
        <v>0.09048507462686567</v>
      </c>
    </row>
    <row r="7" spans="1:37" s="131" customFormat="1" ht="16.5">
      <c r="A7" s="126"/>
      <c r="B7" s="127" t="s">
        <v>74</v>
      </c>
      <c r="C7" s="128"/>
      <c r="D7" s="128"/>
      <c r="E7" s="129"/>
      <c r="F7" s="129"/>
      <c r="G7" s="129">
        <f>SUM(G8:G17)</f>
        <v>527</v>
      </c>
      <c r="H7" s="129">
        <f>SUM(H8:H17)</f>
        <v>1081</v>
      </c>
      <c r="I7" s="129"/>
      <c r="J7" s="129">
        <f>SUM(J8:J18)</f>
        <v>555</v>
      </c>
      <c r="K7" s="129">
        <f>SUM(K8:K17)</f>
        <v>46</v>
      </c>
      <c r="L7" s="129">
        <f>SUM(L8:L17)</f>
        <v>40</v>
      </c>
      <c r="M7" s="129">
        <f>SUM(M8:M17)</f>
        <v>0</v>
      </c>
      <c r="N7" s="129">
        <f>SUM(N8:N18)</f>
        <v>42</v>
      </c>
      <c r="O7" s="129">
        <f>SUM(O8:O17)</f>
        <v>260</v>
      </c>
      <c r="P7" s="129">
        <f>SUM(P8:P17)</f>
        <v>245</v>
      </c>
      <c r="Q7" s="129">
        <f>SUM(Q8:Q17)</f>
        <v>106</v>
      </c>
      <c r="R7" s="129">
        <f>SUM(R8:R18)</f>
        <v>388</v>
      </c>
      <c r="S7" s="130">
        <f t="shared" si="1"/>
        <v>0.6990990990990991</v>
      </c>
      <c r="T7" s="129">
        <f aca="true" t="shared" si="6" ref="T7:Z7">SUM(T8:T17)</f>
        <v>20</v>
      </c>
      <c r="U7" s="129">
        <f t="shared" si="6"/>
        <v>5</v>
      </c>
      <c r="V7" s="129">
        <f t="shared" si="6"/>
        <v>0</v>
      </c>
      <c r="W7" s="129">
        <f t="shared" si="6"/>
        <v>4</v>
      </c>
      <c r="X7" s="129">
        <f t="shared" si="6"/>
        <v>34</v>
      </c>
      <c r="Y7" s="129">
        <f t="shared" si="6"/>
        <v>48</v>
      </c>
      <c r="Z7" s="129">
        <f t="shared" si="6"/>
        <v>15</v>
      </c>
      <c r="AA7" s="129">
        <f>SUM(AA8:AA18)</f>
        <v>70</v>
      </c>
      <c r="AB7" s="130">
        <f t="shared" si="3"/>
        <v>0.12612612612612611</v>
      </c>
      <c r="AC7" s="129">
        <f aca="true" t="shared" si="7" ref="AC7:AI7">SUM(AC8:AC17)</f>
        <v>7</v>
      </c>
      <c r="AD7" s="129">
        <f t="shared" si="7"/>
        <v>9</v>
      </c>
      <c r="AE7" s="129">
        <f t="shared" si="7"/>
        <v>0</v>
      </c>
      <c r="AF7" s="129">
        <f t="shared" si="7"/>
        <v>9</v>
      </c>
      <c r="AG7" s="129">
        <f t="shared" si="7"/>
        <v>72</v>
      </c>
      <c r="AH7" s="129">
        <f t="shared" si="7"/>
        <v>65</v>
      </c>
      <c r="AI7" s="129">
        <f t="shared" si="7"/>
        <v>31</v>
      </c>
      <c r="AJ7" s="129">
        <f>SUM(AJ8:AJ18)</f>
        <v>97</v>
      </c>
      <c r="AK7" s="130">
        <f t="shared" si="5"/>
        <v>0.17477477477477477</v>
      </c>
    </row>
    <row r="8" spans="1:37" s="144" customFormat="1" ht="30" hidden="1" outlineLevel="1">
      <c r="A8" s="132">
        <v>123</v>
      </c>
      <c r="B8" s="133" t="s">
        <v>75</v>
      </c>
      <c r="C8" s="134">
        <v>40568</v>
      </c>
      <c r="D8" s="134">
        <v>40618</v>
      </c>
      <c r="E8" s="135" t="s">
        <v>76</v>
      </c>
      <c r="F8" s="135" t="s">
        <v>77</v>
      </c>
      <c r="G8" s="135">
        <v>63</v>
      </c>
      <c r="H8" s="135">
        <v>120</v>
      </c>
      <c r="I8" s="136" t="s">
        <v>78</v>
      </c>
      <c r="J8" s="137">
        <v>38</v>
      </c>
      <c r="K8" s="135">
        <v>7</v>
      </c>
      <c r="L8" s="135">
        <v>13</v>
      </c>
      <c r="M8" s="135">
        <v>0</v>
      </c>
      <c r="N8" s="135">
        <v>0</v>
      </c>
      <c r="O8" s="135">
        <v>3</v>
      </c>
      <c r="P8" s="138">
        <v>12</v>
      </c>
      <c r="Q8" s="138">
        <v>11</v>
      </c>
      <c r="R8" s="139">
        <f aca="true" t="shared" si="8" ref="R8:R18">+O8+N8+M8+L8+K8</f>
        <v>23</v>
      </c>
      <c r="S8" s="140">
        <f t="shared" si="1"/>
        <v>0.6052631578947368</v>
      </c>
      <c r="T8" s="135">
        <v>4</v>
      </c>
      <c r="U8" s="135">
        <v>0</v>
      </c>
      <c r="V8" s="135">
        <v>0</v>
      </c>
      <c r="W8" s="135">
        <v>1</v>
      </c>
      <c r="X8" s="135">
        <v>4</v>
      </c>
      <c r="Y8" s="141">
        <v>8</v>
      </c>
      <c r="Z8" s="141">
        <v>1</v>
      </c>
      <c r="AA8" s="142">
        <f aca="true" t="shared" si="9" ref="AA8:AA16">SUM(T8:X8)</f>
        <v>9</v>
      </c>
      <c r="AB8" s="143">
        <f t="shared" si="3"/>
        <v>0.23684210526315788</v>
      </c>
      <c r="AC8" s="135">
        <v>1</v>
      </c>
      <c r="AD8" s="135">
        <v>1</v>
      </c>
      <c r="AE8" s="135">
        <v>0</v>
      </c>
      <c r="AF8" s="135">
        <v>1</v>
      </c>
      <c r="AG8" s="135">
        <v>3</v>
      </c>
      <c r="AH8" s="141">
        <v>4</v>
      </c>
      <c r="AI8" s="141">
        <v>2</v>
      </c>
      <c r="AJ8" s="142">
        <f aca="true" t="shared" si="10" ref="AJ8:AJ16">SUM(AC8:AG8)</f>
        <v>6</v>
      </c>
      <c r="AK8" s="143">
        <f t="shared" si="5"/>
        <v>0.15789473684210525</v>
      </c>
    </row>
    <row r="9" spans="1:37" s="132" customFormat="1" ht="30" hidden="1" outlineLevel="1">
      <c r="A9" s="132">
        <v>124</v>
      </c>
      <c r="B9" s="133" t="s">
        <v>79</v>
      </c>
      <c r="C9" s="134">
        <v>40574</v>
      </c>
      <c r="D9" s="134">
        <v>40625</v>
      </c>
      <c r="E9" s="135" t="s">
        <v>76</v>
      </c>
      <c r="F9" s="135" t="s">
        <v>77</v>
      </c>
      <c r="G9" s="135">
        <v>63</v>
      </c>
      <c r="H9" s="135">
        <v>120</v>
      </c>
      <c r="I9" s="136" t="s">
        <v>78</v>
      </c>
      <c r="J9" s="137">
        <v>35</v>
      </c>
      <c r="K9" s="135">
        <v>8</v>
      </c>
      <c r="L9" s="135">
        <v>9</v>
      </c>
      <c r="M9" s="135">
        <v>0</v>
      </c>
      <c r="N9" s="135">
        <v>1</v>
      </c>
      <c r="O9" s="135">
        <v>4</v>
      </c>
      <c r="P9" s="138">
        <v>15</v>
      </c>
      <c r="Q9" s="138">
        <v>8</v>
      </c>
      <c r="R9" s="139">
        <f t="shared" si="8"/>
        <v>22</v>
      </c>
      <c r="S9" s="145">
        <f t="shared" si="1"/>
        <v>0.6285714285714286</v>
      </c>
      <c r="T9" s="135">
        <v>2</v>
      </c>
      <c r="U9" s="135">
        <v>4</v>
      </c>
      <c r="V9" s="135">
        <v>0</v>
      </c>
      <c r="W9" s="135">
        <v>1</v>
      </c>
      <c r="X9" s="135">
        <v>1</v>
      </c>
      <c r="Y9" s="138">
        <v>6</v>
      </c>
      <c r="Z9" s="138">
        <v>2</v>
      </c>
      <c r="AA9" s="142">
        <f t="shared" si="9"/>
        <v>8</v>
      </c>
      <c r="AB9" s="143">
        <f t="shared" si="3"/>
        <v>0.22857142857142856</v>
      </c>
      <c r="AC9" s="135">
        <v>1</v>
      </c>
      <c r="AD9" s="135">
        <v>2</v>
      </c>
      <c r="AE9" s="135">
        <v>0</v>
      </c>
      <c r="AF9" s="135">
        <v>0</v>
      </c>
      <c r="AG9" s="135">
        <v>2</v>
      </c>
      <c r="AH9" s="146">
        <v>2</v>
      </c>
      <c r="AI9" s="146">
        <v>2</v>
      </c>
      <c r="AJ9" s="142">
        <f t="shared" si="10"/>
        <v>5</v>
      </c>
      <c r="AK9" s="143">
        <f t="shared" si="5"/>
        <v>0.14285714285714285</v>
      </c>
    </row>
    <row r="10" spans="1:37" s="132" customFormat="1" ht="30" hidden="1" outlineLevel="1">
      <c r="A10" s="132">
        <v>125</v>
      </c>
      <c r="B10" s="133" t="s">
        <v>80</v>
      </c>
      <c r="C10" s="134">
        <v>40563</v>
      </c>
      <c r="D10" s="134">
        <v>40619</v>
      </c>
      <c r="E10" s="135" t="s">
        <v>76</v>
      </c>
      <c r="F10" s="135" t="s">
        <v>77</v>
      </c>
      <c r="G10" s="135">
        <v>63</v>
      </c>
      <c r="H10" s="135">
        <v>121</v>
      </c>
      <c r="I10" s="136" t="s">
        <v>81</v>
      </c>
      <c r="J10" s="137">
        <v>42</v>
      </c>
      <c r="K10" s="135">
        <v>2</v>
      </c>
      <c r="L10" s="135">
        <v>0</v>
      </c>
      <c r="M10" s="135">
        <v>0</v>
      </c>
      <c r="N10" s="135">
        <v>1</v>
      </c>
      <c r="O10" s="135">
        <v>14</v>
      </c>
      <c r="P10" s="138">
        <v>15</v>
      </c>
      <c r="Q10" s="138">
        <v>2</v>
      </c>
      <c r="R10" s="139">
        <f t="shared" si="8"/>
        <v>17</v>
      </c>
      <c r="S10" s="145">
        <f t="shared" si="1"/>
        <v>0.40476190476190477</v>
      </c>
      <c r="T10" s="135">
        <v>1</v>
      </c>
      <c r="U10" s="135">
        <v>0</v>
      </c>
      <c r="V10" s="135">
        <v>0</v>
      </c>
      <c r="W10" s="135">
        <v>0</v>
      </c>
      <c r="X10" s="135">
        <v>5</v>
      </c>
      <c r="Y10" s="135">
        <v>6</v>
      </c>
      <c r="Z10" s="135">
        <v>0</v>
      </c>
      <c r="AA10" s="142">
        <f t="shared" si="9"/>
        <v>6</v>
      </c>
      <c r="AB10" s="143">
        <f t="shared" si="3"/>
        <v>0.14285714285714285</v>
      </c>
      <c r="AC10" s="135">
        <v>0</v>
      </c>
      <c r="AD10" s="135">
        <v>0</v>
      </c>
      <c r="AE10" s="135">
        <v>0</v>
      </c>
      <c r="AF10" s="135">
        <v>4</v>
      </c>
      <c r="AG10" s="135">
        <v>15</v>
      </c>
      <c r="AH10" s="138">
        <v>17</v>
      </c>
      <c r="AI10" s="138">
        <v>2</v>
      </c>
      <c r="AJ10" s="142">
        <f t="shared" si="10"/>
        <v>19</v>
      </c>
      <c r="AK10" s="143">
        <f t="shared" si="5"/>
        <v>0.4523809523809524</v>
      </c>
    </row>
    <row r="11" spans="1:37" s="144" customFormat="1" ht="30" hidden="1" outlineLevel="1">
      <c r="A11" s="132">
        <v>126</v>
      </c>
      <c r="B11" s="133" t="s">
        <v>82</v>
      </c>
      <c r="C11" s="134">
        <v>40568</v>
      </c>
      <c r="D11" s="134">
        <v>40645</v>
      </c>
      <c r="E11" s="135" t="s">
        <v>76</v>
      </c>
      <c r="F11" s="135" t="s">
        <v>77</v>
      </c>
      <c r="G11" s="135">
        <v>28</v>
      </c>
      <c r="H11" s="135">
        <v>120</v>
      </c>
      <c r="I11" s="136" t="s">
        <v>83</v>
      </c>
      <c r="J11" s="137">
        <v>37</v>
      </c>
      <c r="K11" s="135">
        <v>5</v>
      </c>
      <c r="L11" s="135">
        <v>0</v>
      </c>
      <c r="M11" s="135">
        <v>0</v>
      </c>
      <c r="N11" s="135">
        <v>0</v>
      </c>
      <c r="O11" s="135">
        <v>20</v>
      </c>
      <c r="P11" s="138">
        <v>19</v>
      </c>
      <c r="Q11" s="138">
        <v>6</v>
      </c>
      <c r="R11" s="139">
        <f t="shared" si="8"/>
        <v>25</v>
      </c>
      <c r="S11" s="140">
        <f t="shared" si="1"/>
        <v>0.6756756756756757</v>
      </c>
      <c r="T11" s="135">
        <v>5</v>
      </c>
      <c r="U11" s="135">
        <v>0</v>
      </c>
      <c r="V11" s="135">
        <v>0</v>
      </c>
      <c r="W11" s="135">
        <v>0</v>
      </c>
      <c r="X11" s="135">
        <v>5</v>
      </c>
      <c r="Y11" s="138">
        <v>6</v>
      </c>
      <c r="Z11" s="138">
        <v>4</v>
      </c>
      <c r="AA11" s="142">
        <f t="shared" si="9"/>
        <v>10</v>
      </c>
      <c r="AB11" s="143">
        <f t="shared" si="3"/>
        <v>0.2702702702702703</v>
      </c>
      <c r="AC11" s="135">
        <v>0</v>
      </c>
      <c r="AD11" s="135">
        <v>0</v>
      </c>
      <c r="AE11" s="135">
        <v>0</v>
      </c>
      <c r="AF11" s="135">
        <v>0</v>
      </c>
      <c r="AG11" s="135">
        <v>2</v>
      </c>
      <c r="AH11" s="141">
        <v>2</v>
      </c>
      <c r="AI11" s="141">
        <v>0</v>
      </c>
      <c r="AJ11" s="142">
        <f t="shared" si="10"/>
        <v>2</v>
      </c>
      <c r="AK11" s="143">
        <f t="shared" si="5"/>
        <v>0.05405405405405406</v>
      </c>
    </row>
    <row r="12" spans="1:37" s="132" customFormat="1" ht="45" hidden="1" outlineLevel="1">
      <c r="A12" s="132">
        <v>127</v>
      </c>
      <c r="B12" s="133" t="s">
        <v>84</v>
      </c>
      <c r="C12" s="134">
        <v>40555</v>
      </c>
      <c r="D12" s="134">
        <v>40627</v>
      </c>
      <c r="E12" s="135" t="s">
        <v>76</v>
      </c>
      <c r="F12" s="135" t="s">
        <v>77</v>
      </c>
      <c r="G12" s="135">
        <v>63</v>
      </c>
      <c r="H12" s="135">
        <v>120</v>
      </c>
      <c r="I12" s="136" t="s">
        <v>85</v>
      </c>
      <c r="J12" s="137">
        <v>57</v>
      </c>
      <c r="K12" s="135">
        <v>6</v>
      </c>
      <c r="L12" s="135">
        <v>11</v>
      </c>
      <c r="M12" s="135">
        <v>0</v>
      </c>
      <c r="N12" s="135">
        <v>0</v>
      </c>
      <c r="O12" s="135">
        <v>23</v>
      </c>
      <c r="P12" s="138">
        <v>29</v>
      </c>
      <c r="Q12" s="138">
        <v>11</v>
      </c>
      <c r="R12" s="139">
        <f t="shared" si="8"/>
        <v>40</v>
      </c>
      <c r="S12" s="145">
        <f t="shared" si="1"/>
        <v>0.7017543859649122</v>
      </c>
      <c r="T12" s="135">
        <v>2</v>
      </c>
      <c r="U12" s="135">
        <v>1</v>
      </c>
      <c r="V12" s="135">
        <v>0</v>
      </c>
      <c r="W12" s="135">
        <v>1</v>
      </c>
      <c r="X12" s="135">
        <v>5</v>
      </c>
      <c r="Y12" s="138">
        <v>6</v>
      </c>
      <c r="Z12" s="138">
        <v>3</v>
      </c>
      <c r="AA12" s="142">
        <f t="shared" si="9"/>
        <v>9</v>
      </c>
      <c r="AB12" s="147">
        <f t="shared" si="3"/>
        <v>0.15789473684210525</v>
      </c>
      <c r="AC12" s="135">
        <v>1</v>
      </c>
      <c r="AD12" s="135">
        <v>1</v>
      </c>
      <c r="AE12" s="135">
        <v>0</v>
      </c>
      <c r="AF12" s="135">
        <v>0</v>
      </c>
      <c r="AG12" s="135">
        <v>6</v>
      </c>
      <c r="AH12" s="146">
        <v>7</v>
      </c>
      <c r="AI12" s="146">
        <v>1</v>
      </c>
      <c r="AJ12" s="142">
        <f t="shared" si="10"/>
        <v>8</v>
      </c>
      <c r="AK12" s="147">
        <f t="shared" si="5"/>
        <v>0.14035087719298245</v>
      </c>
    </row>
    <row r="13" spans="1:37" s="132" customFormat="1" ht="45" hidden="1" outlineLevel="1">
      <c r="A13" s="132">
        <v>128</v>
      </c>
      <c r="B13" s="133" t="s">
        <v>86</v>
      </c>
      <c r="C13" s="134">
        <v>40561</v>
      </c>
      <c r="D13" s="134">
        <v>40633</v>
      </c>
      <c r="E13" s="135" t="s">
        <v>76</v>
      </c>
      <c r="F13" s="135" t="s">
        <v>77</v>
      </c>
      <c r="G13" s="135">
        <v>63</v>
      </c>
      <c r="H13" s="135">
        <v>120</v>
      </c>
      <c r="I13" s="136" t="s">
        <v>85</v>
      </c>
      <c r="J13" s="137">
        <v>47</v>
      </c>
      <c r="K13" s="135">
        <v>18</v>
      </c>
      <c r="L13" s="135">
        <v>5</v>
      </c>
      <c r="M13" s="135">
        <v>0</v>
      </c>
      <c r="N13" s="135">
        <v>0</v>
      </c>
      <c r="O13" s="135">
        <v>4</v>
      </c>
      <c r="P13" s="138">
        <v>13</v>
      </c>
      <c r="Q13" s="138">
        <v>14</v>
      </c>
      <c r="R13" s="139">
        <f t="shared" si="8"/>
        <v>27</v>
      </c>
      <c r="S13" s="140">
        <f t="shared" si="1"/>
        <v>0.574468085106383</v>
      </c>
      <c r="T13" s="135">
        <v>3</v>
      </c>
      <c r="U13" s="135">
        <v>0</v>
      </c>
      <c r="V13" s="135">
        <v>0</v>
      </c>
      <c r="W13" s="135">
        <v>1</v>
      </c>
      <c r="X13" s="135">
        <v>1</v>
      </c>
      <c r="Y13" s="138">
        <v>3</v>
      </c>
      <c r="Z13" s="138">
        <v>2</v>
      </c>
      <c r="AA13" s="142">
        <f t="shared" si="9"/>
        <v>5</v>
      </c>
      <c r="AB13" s="143">
        <f t="shared" si="3"/>
        <v>0.10638297872340426</v>
      </c>
      <c r="AC13" s="135">
        <v>3</v>
      </c>
      <c r="AD13" s="135">
        <v>5</v>
      </c>
      <c r="AE13" s="135">
        <v>0</v>
      </c>
      <c r="AF13" s="135">
        <v>0</v>
      </c>
      <c r="AG13" s="135">
        <v>7</v>
      </c>
      <c r="AH13" s="146">
        <v>8</v>
      </c>
      <c r="AI13" s="146">
        <v>7</v>
      </c>
      <c r="AJ13" s="142">
        <f t="shared" si="10"/>
        <v>15</v>
      </c>
      <c r="AK13" s="143">
        <f t="shared" si="5"/>
        <v>0.3191489361702128</v>
      </c>
    </row>
    <row r="14" spans="1:37" s="132" customFormat="1" ht="45" hidden="1" outlineLevel="1">
      <c r="A14" s="132">
        <v>129</v>
      </c>
      <c r="B14" s="133" t="s">
        <v>87</v>
      </c>
      <c r="C14" s="134">
        <v>40561</v>
      </c>
      <c r="D14" s="134">
        <v>40633</v>
      </c>
      <c r="E14" s="135" t="s">
        <v>76</v>
      </c>
      <c r="F14" s="135" t="s">
        <v>77</v>
      </c>
      <c r="G14" s="135">
        <v>63</v>
      </c>
      <c r="H14" s="135">
        <v>120</v>
      </c>
      <c r="I14" s="136" t="s">
        <v>85</v>
      </c>
      <c r="J14" s="137">
        <v>31</v>
      </c>
      <c r="K14" s="135">
        <v>0</v>
      </c>
      <c r="L14" s="135">
        <v>2</v>
      </c>
      <c r="M14" s="135">
        <v>0</v>
      </c>
      <c r="N14" s="135">
        <v>2</v>
      </c>
      <c r="O14" s="135">
        <v>8</v>
      </c>
      <c r="P14" s="138">
        <v>9</v>
      </c>
      <c r="Q14" s="138">
        <v>3</v>
      </c>
      <c r="R14" s="139">
        <f t="shared" si="8"/>
        <v>12</v>
      </c>
      <c r="S14" s="140">
        <f t="shared" si="1"/>
        <v>0.3870967741935484</v>
      </c>
      <c r="T14" s="135">
        <v>3</v>
      </c>
      <c r="U14" s="135">
        <v>0</v>
      </c>
      <c r="V14" s="135">
        <v>0</v>
      </c>
      <c r="W14" s="135">
        <v>0</v>
      </c>
      <c r="X14" s="135">
        <v>1</v>
      </c>
      <c r="Y14" s="138">
        <v>4</v>
      </c>
      <c r="Z14" s="138">
        <v>0</v>
      </c>
      <c r="AA14" s="142">
        <f t="shared" si="9"/>
        <v>4</v>
      </c>
      <c r="AB14" s="143">
        <f t="shared" si="3"/>
        <v>0.12903225806451613</v>
      </c>
      <c r="AC14" s="135">
        <v>1</v>
      </c>
      <c r="AD14" s="135">
        <v>0</v>
      </c>
      <c r="AE14" s="135">
        <v>0</v>
      </c>
      <c r="AF14" s="135">
        <v>4</v>
      </c>
      <c r="AG14" s="135">
        <v>10</v>
      </c>
      <c r="AH14" s="146">
        <v>11</v>
      </c>
      <c r="AI14" s="146">
        <v>4</v>
      </c>
      <c r="AJ14" s="142">
        <f t="shared" si="10"/>
        <v>15</v>
      </c>
      <c r="AK14" s="143">
        <f t="shared" si="5"/>
        <v>0.4838709677419355</v>
      </c>
    </row>
    <row r="15" spans="1:37" s="132" customFormat="1" ht="30" hidden="1" outlineLevel="1">
      <c r="A15" s="132">
        <v>130</v>
      </c>
      <c r="B15" s="133" t="s">
        <v>88</v>
      </c>
      <c r="C15" s="148"/>
      <c r="D15" s="148"/>
      <c r="E15" s="135" t="s">
        <v>76</v>
      </c>
      <c r="F15" s="135" t="s">
        <v>77</v>
      </c>
      <c r="G15" s="135">
        <v>63</v>
      </c>
      <c r="H15" s="135">
        <v>120</v>
      </c>
      <c r="I15" s="136" t="s">
        <v>89</v>
      </c>
      <c r="J15" s="137">
        <v>82</v>
      </c>
      <c r="K15" s="135">
        <v>0</v>
      </c>
      <c r="L15" s="135">
        <v>0</v>
      </c>
      <c r="M15" s="135">
        <v>0</v>
      </c>
      <c r="N15" s="135">
        <v>0</v>
      </c>
      <c r="O15" s="135">
        <v>72</v>
      </c>
      <c r="P15" s="138">
        <v>50</v>
      </c>
      <c r="Q15" s="138">
        <v>22</v>
      </c>
      <c r="R15" s="139">
        <f t="shared" si="8"/>
        <v>72</v>
      </c>
      <c r="S15" s="140">
        <f t="shared" si="1"/>
        <v>0.8780487804878049</v>
      </c>
      <c r="T15" s="135">
        <v>0</v>
      </c>
      <c r="U15" s="135">
        <v>0</v>
      </c>
      <c r="V15" s="135">
        <v>0</v>
      </c>
      <c r="W15" s="135">
        <v>0</v>
      </c>
      <c r="X15" s="135">
        <v>6</v>
      </c>
      <c r="Y15" s="138">
        <v>5</v>
      </c>
      <c r="Z15" s="138">
        <v>1</v>
      </c>
      <c r="AA15" s="142">
        <f t="shared" si="9"/>
        <v>6</v>
      </c>
      <c r="AB15" s="143">
        <f t="shared" si="3"/>
        <v>0.07317073170731707</v>
      </c>
      <c r="AC15" s="135">
        <v>0</v>
      </c>
      <c r="AD15" s="135">
        <v>0</v>
      </c>
      <c r="AE15" s="135">
        <v>0</v>
      </c>
      <c r="AF15" s="135">
        <v>0</v>
      </c>
      <c r="AG15" s="135">
        <v>4</v>
      </c>
      <c r="AH15" s="146">
        <v>0</v>
      </c>
      <c r="AI15" s="146">
        <v>4</v>
      </c>
      <c r="AJ15" s="142">
        <f t="shared" si="10"/>
        <v>4</v>
      </c>
      <c r="AK15" s="143">
        <f t="shared" si="5"/>
        <v>0.04878048780487805</v>
      </c>
    </row>
    <row r="16" spans="1:37" s="132" customFormat="1" ht="30" hidden="1" outlineLevel="1">
      <c r="A16" s="132">
        <v>131</v>
      </c>
      <c r="B16" s="133" t="s">
        <v>90</v>
      </c>
      <c r="C16" s="134">
        <v>40561</v>
      </c>
      <c r="D16" s="134">
        <v>40640</v>
      </c>
      <c r="E16" s="135" t="s">
        <v>91</v>
      </c>
      <c r="F16" s="135" t="s">
        <v>77</v>
      </c>
      <c r="G16" s="135">
        <v>23</v>
      </c>
      <c r="H16" s="135">
        <v>120</v>
      </c>
      <c r="I16" s="136" t="s">
        <v>89</v>
      </c>
      <c r="J16" s="137">
        <v>100</v>
      </c>
      <c r="K16" s="135">
        <v>0</v>
      </c>
      <c r="L16" s="135">
        <v>0</v>
      </c>
      <c r="M16" s="135">
        <v>0</v>
      </c>
      <c r="N16" s="135">
        <v>0</v>
      </c>
      <c r="O16" s="135">
        <v>71</v>
      </c>
      <c r="P16" s="138">
        <v>53</v>
      </c>
      <c r="Q16" s="138">
        <v>18</v>
      </c>
      <c r="R16" s="139">
        <f t="shared" si="8"/>
        <v>71</v>
      </c>
      <c r="S16" s="140">
        <f t="shared" si="1"/>
        <v>0.71</v>
      </c>
      <c r="T16" s="135">
        <v>0</v>
      </c>
      <c r="U16" s="135">
        <v>0</v>
      </c>
      <c r="V16" s="135">
        <v>0</v>
      </c>
      <c r="W16" s="135">
        <v>0</v>
      </c>
      <c r="X16" s="135">
        <v>6</v>
      </c>
      <c r="Y16" s="138">
        <v>4</v>
      </c>
      <c r="Z16" s="138">
        <v>2</v>
      </c>
      <c r="AA16" s="142">
        <f t="shared" si="9"/>
        <v>6</v>
      </c>
      <c r="AB16" s="143">
        <f t="shared" si="3"/>
        <v>0.06</v>
      </c>
      <c r="AC16" s="135">
        <v>0</v>
      </c>
      <c r="AD16" s="135">
        <v>0</v>
      </c>
      <c r="AE16" s="135">
        <v>0</v>
      </c>
      <c r="AF16" s="135">
        <v>0</v>
      </c>
      <c r="AG16" s="135">
        <v>23</v>
      </c>
      <c r="AH16" s="146">
        <v>14</v>
      </c>
      <c r="AI16" s="146">
        <v>9</v>
      </c>
      <c r="AJ16" s="142">
        <f t="shared" si="10"/>
        <v>23</v>
      </c>
      <c r="AK16" s="143">
        <f t="shared" si="5"/>
        <v>0.23</v>
      </c>
    </row>
    <row r="17" spans="1:37" s="132" customFormat="1" ht="30" hidden="1" outlineLevel="1">
      <c r="A17" s="132">
        <v>132</v>
      </c>
      <c r="B17" s="133" t="s">
        <v>92</v>
      </c>
      <c r="C17" s="149"/>
      <c r="D17" s="149"/>
      <c r="E17" s="135" t="s">
        <v>76</v>
      </c>
      <c r="F17" s="135" t="s">
        <v>93</v>
      </c>
      <c r="G17" s="135">
        <v>35</v>
      </c>
      <c r="H17" s="135">
        <v>0</v>
      </c>
      <c r="I17" s="136" t="s">
        <v>81</v>
      </c>
      <c r="J17" s="137">
        <v>41</v>
      </c>
      <c r="K17" s="135">
        <v>0</v>
      </c>
      <c r="L17" s="135">
        <v>0</v>
      </c>
      <c r="M17" s="135">
        <v>0</v>
      </c>
      <c r="N17" s="135">
        <v>0</v>
      </c>
      <c r="O17" s="135">
        <v>41</v>
      </c>
      <c r="P17" s="138">
        <v>30</v>
      </c>
      <c r="Q17" s="138">
        <v>11</v>
      </c>
      <c r="R17" s="139">
        <f t="shared" si="8"/>
        <v>41</v>
      </c>
      <c r="S17" s="140">
        <f t="shared" si="1"/>
        <v>1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8">
        <v>0</v>
      </c>
      <c r="Z17" s="138">
        <v>0</v>
      </c>
      <c r="AA17" s="142">
        <f>SUM(T17:Z17)</f>
        <v>0</v>
      </c>
      <c r="AB17" s="143">
        <f t="shared" si="3"/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46">
        <v>0</v>
      </c>
      <c r="AI17" s="146">
        <v>0</v>
      </c>
      <c r="AJ17" s="142">
        <f>SUM(AC17:AI17)</f>
        <v>0</v>
      </c>
      <c r="AK17" s="143">
        <f t="shared" si="5"/>
        <v>0</v>
      </c>
    </row>
    <row r="18" spans="1:37" s="132" customFormat="1" ht="30" hidden="1" outlineLevel="1">
      <c r="A18" s="132">
        <v>133</v>
      </c>
      <c r="B18" s="133" t="s">
        <v>94</v>
      </c>
      <c r="C18" s="149">
        <v>40570</v>
      </c>
      <c r="D18" s="149">
        <v>40662</v>
      </c>
      <c r="E18" s="135" t="s">
        <v>76</v>
      </c>
      <c r="F18" s="135" t="s">
        <v>77</v>
      </c>
      <c r="G18" s="135">
        <v>70</v>
      </c>
      <c r="H18" s="135">
        <v>120</v>
      </c>
      <c r="I18" s="136" t="s">
        <v>83</v>
      </c>
      <c r="J18" s="137">
        <v>45</v>
      </c>
      <c r="K18" s="135">
        <v>0</v>
      </c>
      <c r="L18" s="135">
        <v>0</v>
      </c>
      <c r="M18" s="135">
        <v>0</v>
      </c>
      <c r="N18" s="135">
        <v>38</v>
      </c>
      <c r="O18" s="135">
        <v>0</v>
      </c>
      <c r="P18" s="138">
        <v>21</v>
      </c>
      <c r="Q18" s="138">
        <v>17</v>
      </c>
      <c r="R18" s="139">
        <f t="shared" si="8"/>
        <v>38</v>
      </c>
      <c r="S18" s="140">
        <f t="shared" si="1"/>
        <v>0.8444444444444444</v>
      </c>
      <c r="T18" s="135">
        <v>0</v>
      </c>
      <c r="U18" s="135">
        <v>0</v>
      </c>
      <c r="V18" s="135">
        <v>0</v>
      </c>
      <c r="W18" s="135">
        <v>7</v>
      </c>
      <c r="X18" s="135">
        <v>0</v>
      </c>
      <c r="Y18" s="138">
        <v>1</v>
      </c>
      <c r="Z18" s="138">
        <v>6</v>
      </c>
      <c r="AA18" s="142">
        <f>SUM(T18:X18)</f>
        <v>7</v>
      </c>
      <c r="AB18" s="143">
        <f t="shared" si="3"/>
        <v>0.15555555555555556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46">
        <v>0</v>
      </c>
      <c r="AI18" s="146">
        <v>0</v>
      </c>
      <c r="AJ18" s="142">
        <v>0</v>
      </c>
      <c r="AK18" s="143">
        <f t="shared" si="5"/>
        <v>0</v>
      </c>
    </row>
    <row r="19" spans="1:37" s="153" customFormat="1" ht="18.75">
      <c r="A19" s="150"/>
      <c r="B19" s="127" t="s">
        <v>95</v>
      </c>
      <c r="C19" s="151"/>
      <c r="D19" s="151"/>
      <c r="E19" s="152"/>
      <c r="F19" s="152"/>
      <c r="G19" s="129">
        <f>SUM(G20:G33)</f>
        <v>126</v>
      </c>
      <c r="H19" s="129">
        <f>SUM(H20:H33)</f>
        <v>0</v>
      </c>
      <c r="I19" s="129"/>
      <c r="J19" s="129">
        <f aca="true" t="shared" si="11" ref="J19:R19">SUM(J20:J33)</f>
        <v>517</v>
      </c>
      <c r="K19" s="129">
        <f t="shared" si="11"/>
        <v>238</v>
      </c>
      <c r="L19" s="129">
        <f t="shared" si="11"/>
        <v>17</v>
      </c>
      <c r="M19" s="129">
        <f t="shared" si="11"/>
        <v>0</v>
      </c>
      <c r="N19" s="129">
        <f t="shared" si="11"/>
        <v>2</v>
      </c>
      <c r="O19" s="129">
        <f t="shared" si="11"/>
        <v>0</v>
      </c>
      <c r="P19" s="129">
        <f t="shared" si="11"/>
        <v>134</v>
      </c>
      <c r="Q19" s="129">
        <f t="shared" si="11"/>
        <v>123</v>
      </c>
      <c r="R19" s="129">
        <f t="shared" si="11"/>
        <v>257</v>
      </c>
      <c r="S19" s="130">
        <f t="shared" si="1"/>
        <v>0.49709864603481624</v>
      </c>
      <c r="T19" s="129">
        <f aca="true" t="shared" si="12" ref="T19:AA19">SUM(T20:T33)</f>
        <v>223</v>
      </c>
      <c r="U19" s="129">
        <f t="shared" si="12"/>
        <v>9</v>
      </c>
      <c r="V19" s="129">
        <f t="shared" si="12"/>
        <v>1</v>
      </c>
      <c r="W19" s="129">
        <f t="shared" si="12"/>
        <v>27</v>
      </c>
      <c r="X19" s="129">
        <f t="shared" si="12"/>
        <v>0</v>
      </c>
      <c r="Y19" s="129">
        <f t="shared" si="12"/>
        <v>146</v>
      </c>
      <c r="Z19" s="129">
        <f t="shared" si="12"/>
        <v>114</v>
      </c>
      <c r="AA19" s="129">
        <f t="shared" si="12"/>
        <v>260</v>
      </c>
      <c r="AB19" s="130">
        <f t="shared" si="3"/>
        <v>0.5029013539651838</v>
      </c>
      <c r="AC19" s="129">
        <f aca="true" t="shared" si="13" ref="AC19:AJ19">SUM(AC20:AC33)</f>
        <v>0</v>
      </c>
      <c r="AD19" s="129">
        <f t="shared" si="13"/>
        <v>0</v>
      </c>
      <c r="AE19" s="129">
        <f t="shared" si="13"/>
        <v>0</v>
      </c>
      <c r="AF19" s="129">
        <f t="shared" si="13"/>
        <v>0</v>
      </c>
      <c r="AG19" s="129">
        <f t="shared" si="13"/>
        <v>0</v>
      </c>
      <c r="AH19" s="129">
        <f t="shared" si="13"/>
        <v>0</v>
      </c>
      <c r="AI19" s="129">
        <f t="shared" si="13"/>
        <v>0</v>
      </c>
      <c r="AJ19" s="129">
        <f t="shared" si="13"/>
        <v>0</v>
      </c>
      <c r="AK19" s="130">
        <f t="shared" si="5"/>
        <v>0</v>
      </c>
    </row>
    <row r="20" spans="2:37" s="132" customFormat="1" ht="30" hidden="1" outlineLevel="1">
      <c r="B20" s="154" t="s">
        <v>96</v>
      </c>
      <c r="C20" s="149">
        <v>40583</v>
      </c>
      <c r="D20" s="149">
        <v>40583</v>
      </c>
      <c r="E20" s="135" t="s">
        <v>76</v>
      </c>
      <c r="F20" s="135" t="s">
        <v>97</v>
      </c>
      <c r="G20" s="136">
        <v>7</v>
      </c>
      <c r="H20" s="136">
        <v>0</v>
      </c>
      <c r="I20" s="136" t="s">
        <v>78</v>
      </c>
      <c r="J20" s="155">
        <v>27</v>
      </c>
      <c r="K20" s="136">
        <v>22</v>
      </c>
      <c r="L20" s="136">
        <v>0</v>
      </c>
      <c r="M20" s="136">
        <v>0</v>
      </c>
      <c r="N20" s="136">
        <v>0</v>
      </c>
      <c r="O20" s="136">
        <v>0</v>
      </c>
      <c r="P20" s="146">
        <v>11</v>
      </c>
      <c r="Q20" s="146">
        <v>11</v>
      </c>
      <c r="R20" s="139">
        <f aca="true" t="shared" si="14" ref="R20:R33">+O20+N20+M20+L20+K20</f>
        <v>22</v>
      </c>
      <c r="S20" s="140">
        <f t="shared" si="1"/>
        <v>0.8148148148148148</v>
      </c>
      <c r="T20" s="136">
        <v>5</v>
      </c>
      <c r="U20" s="136">
        <v>0</v>
      </c>
      <c r="V20" s="136">
        <v>0</v>
      </c>
      <c r="W20" s="136">
        <v>0</v>
      </c>
      <c r="X20" s="136">
        <v>0</v>
      </c>
      <c r="Y20" s="146">
        <v>2</v>
      </c>
      <c r="Z20" s="146">
        <v>3</v>
      </c>
      <c r="AA20" s="142">
        <f aca="true" t="shared" si="15" ref="AA20:AA33">SUM(T20:X20)</f>
        <v>5</v>
      </c>
      <c r="AB20" s="143">
        <f t="shared" si="3"/>
        <v>0.18518518518518517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46">
        <v>0</v>
      </c>
      <c r="AI20" s="146">
        <v>0</v>
      </c>
      <c r="AJ20" s="142">
        <f aca="true" t="shared" si="16" ref="AJ20:AJ25">SUM(AC20:AG20)</f>
        <v>0</v>
      </c>
      <c r="AK20" s="143">
        <f t="shared" si="5"/>
        <v>0</v>
      </c>
    </row>
    <row r="21" spans="2:37" s="132" customFormat="1" ht="30" hidden="1" outlineLevel="1">
      <c r="B21" s="154" t="s">
        <v>98</v>
      </c>
      <c r="C21" s="149">
        <v>40641</v>
      </c>
      <c r="D21" s="149">
        <v>40641</v>
      </c>
      <c r="E21" s="135" t="s">
        <v>76</v>
      </c>
      <c r="F21" s="135" t="s">
        <v>97</v>
      </c>
      <c r="G21" s="136">
        <v>7</v>
      </c>
      <c r="H21" s="136">
        <v>0</v>
      </c>
      <c r="I21" s="136" t="s">
        <v>78</v>
      </c>
      <c r="J21" s="155">
        <v>46</v>
      </c>
      <c r="K21" s="136">
        <v>31</v>
      </c>
      <c r="L21" s="136">
        <v>0</v>
      </c>
      <c r="M21" s="136">
        <v>0</v>
      </c>
      <c r="N21" s="136">
        <v>2</v>
      </c>
      <c r="O21" s="136">
        <v>0</v>
      </c>
      <c r="P21" s="146">
        <v>16</v>
      </c>
      <c r="Q21" s="146">
        <v>17</v>
      </c>
      <c r="R21" s="139">
        <f t="shared" si="14"/>
        <v>33</v>
      </c>
      <c r="S21" s="140">
        <f t="shared" si="1"/>
        <v>0.717391304347826</v>
      </c>
      <c r="T21" s="136">
        <v>12</v>
      </c>
      <c r="U21" s="136">
        <v>1</v>
      </c>
      <c r="V21" s="136">
        <v>0</v>
      </c>
      <c r="W21" s="136">
        <v>0</v>
      </c>
      <c r="X21" s="136">
        <v>0</v>
      </c>
      <c r="Y21" s="146">
        <v>8</v>
      </c>
      <c r="Z21" s="146">
        <v>5</v>
      </c>
      <c r="AA21" s="142">
        <f t="shared" si="15"/>
        <v>13</v>
      </c>
      <c r="AB21" s="143">
        <f t="shared" si="3"/>
        <v>0.2826086956521739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46">
        <v>0</v>
      </c>
      <c r="AI21" s="146">
        <v>0</v>
      </c>
      <c r="AJ21" s="142">
        <f t="shared" si="16"/>
        <v>0</v>
      </c>
      <c r="AK21" s="143">
        <f t="shared" si="5"/>
        <v>0</v>
      </c>
    </row>
    <row r="22" spans="2:37" s="132" customFormat="1" ht="30" hidden="1" outlineLevel="1">
      <c r="B22" s="154" t="s">
        <v>99</v>
      </c>
      <c r="C22" s="149">
        <v>40620</v>
      </c>
      <c r="D22" s="149">
        <v>40620</v>
      </c>
      <c r="E22" s="135" t="s">
        <v>76</v>
      </c>
      <c r="F22" s="135" t="s">
        <v>97</v>
      </c>
      <c r="G22" s="136">
        <v>7</v>
      </c>
      <c r="H22" s="136">
        <v>0</v>
      </c>
      <c r="I22" s="136" t="s">
        <v>78</v>
      </c>
      <c r="J22" s="155">
        <v>59</v>
      </c>
      <c r="K22" s="136">
        <v>25</v>
      </c>
      <c r="L22" s="136">
        <v>6</v>
      </c>
      <c r="M22" s="136">
        <v>0</v>
      </c>
      <c r="N22" s="136">
        <v>0</v>
      </c>
      <c r="O22" s="136">
        <v>0</v>
      </c>
      <c r="P22" s="146">
        <v>20</v>
      </c>
      <c r="Q22" s="146">
        <v>11</v>
      </c>
      <c r="R22" s="139">
        <f t="shared" si="14"/>
        <v>31</v>
      </c>
      <c r="S22" s="140">
        <f t="shared" si="1"/>
        <v>0.5254237288135594</v>
      </c>
      <c r="T22" s="136">
        <v>25</v>
      </c>
      <c r="U22" s="136">
        <v>2</v>
      </c>
      <c r="V22" s="136">
        <v>1</v>
      </c>
      <c r="W22" s="136">
        <v>0</v>
      </c>
      <c r="X22" s="136">
        <v>0</v>
      </c>
      <c r="Y22" s="146">
        <v>13</v>
      </c>
      <c r="Z22" s="146">
        <v>15</v>
      </c>
      <c r="AA22" s="142">
        <f t="shared" si="15"/>
        <v>28</v>
      </c>
      <c r="AB22" s="143">
        <f t="shared" si="3"/>
        <v>0.4745762711864407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46">
        <v>0</v>
      </c>
      <c r="AI22" s="146">
        <v>0</v>
      </c>
      <c r="AJ22" s="142">
        <f t="shared" si="16"/>
        <v>0</v>
      </c>
      <c r="AK22" s="143">
        <f t="shared" si="5"/>
        <v>0</v>
      </c>
    </row>
    <row r="23" spans="2:37" s="132" customFormat="1" ht="30" hidden="1" outlineLevel="1">
      <c r="B23" s="154" t="s">
        <v>100</v>
      </c>
      <c r="C23" s="149">
        <v>40627</v>
      </c>
      <c r="D23" s="149">
        <v>40627</v>
      </c>
      <c r="E23" s="135" t="s">
        <v>76</v>
      </c>
      <c r="F23" s="135" t="s">
        <v>97</v>
      </c>
      <c r="G23" s="136">
        <v>7</v>
      </c>
      <c r="H23" s="136">
        <v>0</v>
      </c>
      <c r="I23" s="136" t="s">
        <v>78</v>
      </c>
      <c r="J23" s="155">
        <v>43</v>
      </c>
      <c r="K23" s="136">
        <v>7</v>
      </c>
      <c r="L23" s="136">
        <v>0</v>
      </c>
      <c r="M23" s="136">
        <v>0</v>
      </c>
      <c r="N23" s="136">
        <v>0</v>
      </c>
      <c r="O23" s="136">
        <v>0</v>
      </c>
      <c r="P23" s="146">
        <v>2</v>
      </c>
      <c r="Q23" s="146">
        <v>5</v>
      </c>
      <c r="R23" s="139">
        <f t="shared" si="14"/>
        <v>7</v>
      </c>
      <c r="S23" s="140">
        <f t="shared" si="1"/>
        <v>0.16279069767441862</v>
      </c>
      <c r="T23" s="136">
        <v>36</v>
      </c>
      <c r="U23" s="136">
        <v>0</v>
      </c>
      <c r="V23" s="136">
        <v>0</v>
      </c>
      <c r="W23" s="136">
        <v>0</v>
      </c>
      <c r="X23" s="136">
        <v>0</v>
      </c>
      <c r="Y23" s="146">
        <v>18</v>
      </c>
      <c r="Z23" s="146">
        <v>18</v>
      </c>
      <c r="AA23" s="142">
        <f t="shared" si="15"/>
        <v>36</v>
      </c>
      <c r="AB23" s="143">
        <f t="shared" si="3"/>
        <v>0.8372093023255814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46">
        <v>0</v>
      </c>
      <c r="AI23" s="146">
        <v>0</v>
      </c>
      <c r="AJ23" s="142">
        <f t="shared" si="16"/>
        <v>0</v>
      </c>
      <c r="AK23" s="143">
        <f t="shared" si="5"/>
        <v>0</v>
      </c>
    </row>
    <row r="24" spans="2:37" s="132" customFormat="1" ht="30" hidden="1" outlineLevel="1">
      <c r="B24" s="154" t="s">
        <v>101</v>
      </c>
      <c r="C24" s="149">
        <v>40640</v>
      </c>
      <c r="D24" s="149">
        <v>40640</v>
      </c>
      <c r="E24" s="135" t="s">
        <v>76</v>
      </c>
      <c r="F24" s="135" t="s">
        <v>97</v>
      </c>
      <c r="G24" s="136">
        <v>7</v>
      </c>
      <c r="H24" s="136">
        <v>0</v>
      </c>
      <c r="I24" s="136" t="s">
        <v>78</v>
      </c>
      <c r="J24" s="155">
        <v>30</v>
      </c>
      <c r="K24" s="136">
        <v>16</v>
      </c>
      <c r="L24" s="136">
        <v>11</v>
      </c>
      <c r="M24" s="136">
        <v>0</v>
      </c>
      <c r="N24" s="136">
        <v>0</v>
      </c>
      <c r="O24" s="136">
        <v>0</v>
      </c>
      <c r="P24" s="146">
        <v>18</v>
      </c>
      <c r="Q24" s="146">
        <v>9</v>
      </c>
      <c r="R24" s="139">
        <f t="shared" si="14"/>
        <v>27</v>
      </c>
      <c r="S24" s="140">
        <f t="shared" si="1"/>
        <v>0.9</v>
      </c>
      <c r="T24" s="136">
        <v>1</v>
      </c>
      <c r="U24" s="136">
        <v>2</v>
      </c>
      <c r="V24" s="136">
        <v>0</v>
      </c>
      <c r="W24" s="136">
        <v>0</v>
      </c>
      <c r="X24" s="136">
        <v>0</v>
      </c>
      <c r="Y24" s="146">
        <v>0</v>
      </c>
      <c r="Z24" s="146">
        <v>3</v>
      </c>
      <c r="AA24" s="142">
        <f t="shared" si="15"/>
        <v>3</v>
      </c>
      <c r="AB24" s="143">
        <f t="shared" si="3"/>
        <v>0.1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46">
        <v>0</v>
      </c>
      <c r="AI24" s="146">
        <v>0</v>
      </c>
      <c r="AJ24" s="142">
        <f t="shared" si="16"/>
        <v>0</v>
      </c>
      <c r="AK24" s="143">
        <f t="shared" si="5"/>
        <v>0</v>
      </c>
    </row>
    <row r="25" spans="2:37" s="132" customFormat="1" ht="30" hidden="1" outlineLevel="1">
      <c r="B25" s="154" t="s">
        <v>102</v>
      </c>
      <c r="C25" s="149">
        <v>40554</v>
      </c>
      <c r="D25" s="149">
        <v>40557</v>
      </c>
      <c r="E25" s="135" t="s">
        <v>76</v>
      </c>
      <c r="F25" s="135" t="s">
        <v>97</v>
      </c>
      <c r="G25" s="136">
        <v>28</v>
      </c>
      <c r="H25" s="136">
        <v>0</v>
      </c>
      <c r="I25" s="136" t="s">
        <v>78</v>
      </c>
      <c r="J25" s="155">
        <v>24</v>
      </c>
      <c r="K25" s="136">
        <v>9</v>
      </c>
      <c r="L25" s="136">
        <v>0</v>
      </c>
      <c r="M25" s="136">
        <v>0</v>
      </c>
      <c r="N25" s="136">
        <v>0</v>
      </c>
      <c r="O25" s="136">
        <v>0</v>
      </c>
      <c r="P25" s="146">
        <v>4</v>
      </c>
      <c r="Q25" s="146">
        <v>5</v>
      </c>
      <c r="R25" s="139">
        <f t="shared" si="14"/>
        <v>9</v>
      </c>
      <c r="S25" s="140">
        <f t="shared" si="1"/>
        <v>0.375</v>
      </c>
      <c r="T25" s="136">
        <v>11</v>
      </c>
      <c r="U25" s="136">
        <v>0</v>
      </c>
      <c r="V25" s="136">
        <v>0</v>
      </c>
      <c r="W25" s="136">
        <v>4</v>
      </c>
      <c r="X25" s="136">
        <v>0</v>
      </c>
      <c r="Y25" s="146">
        <v>11</v>
      </c>
      <c r="Z25" s="146">
        <v>4</v>
      </c>
      <c r="AA25" s="142">
        <f t="shared" si="15"/>
        <v>15</v>
      </c>
      <c r="AB25" s="143">
        <f t="shared" si="3"/>
        <v>0.625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46">
        <v>0</v>
      </c>
      <c r="AI25" s="146">
        <v>0</v>
      </c>
      <c r="AJ25" s="142">
        <f t="shared" si="16"/>
        <v>0</v>
      </c>
      <c r="AK25" s="143">
        <f t="shared" si="5"/>
        <v>0</v>
      </c>
    </row>
    <row r="26" spans="2:37" s="132" customFormat="1" ht="30" hidden="1" outlineLevel="1">
      <c r="B26" s="133" t="s">
        <v>103</v>
      </c>
      <c r="C26" s="149">
        <v>40555</v>
      </c>
      <c r="D26" s="149">
        <v>40555</v>
      </c>
      <c r="E26" s="135" t="s">
        <v>76</v>
      </c>
      <c r="F26" s="135" t="s">
        <v>97</v>
      </c>
      <c r="G26" s="135">
        <v>7</v>
      </c>
      <c r="H26" s="135">
        <v>0</v>
      </c>
      <c r="I26" s="136" t="s">
        <v>78</v>
      </c>
      <c r="J26" s="137">
        <v>25</v>
      </c>
      <c r="K26" s="135">
        <v>7</v>
      </c>
      <c r="L26" s="135">
        <v>0</v>
      </c>
      <c r="M26" s="135">
        <v>0</v>
      </c>
      <c r="N26" s="135">
        <v>0</v>
      </c>
      <c r="O26" s="135">
        <v>0</v>
      </c>
      <c r="P26" s="138">
        <v>2</v>
      </c>
      <c r="Q26" s="138">
        <v>5</v>
      </c>
      <c r="R26" s="139">
        <f t="shared" si="14"/>
        <v>7</v>
      </c>
      <c r="S26" s="140">
        <f t="shared" si="1"/>
        <v>0.28</v>
      </c>
      <c r="T26" s="135">
        <v>10</v>
      </c>
      <c r="U26" s="135">
        <v>0</v>
      </c>
      <c r="V26" s="135">
        <v>0</v>
      </c>
      <c r="W26" s="135">
        <v>8</v>
      </c>
      <c r="X26" s="135">
        <v>0</v>
      </c>
      <c r="Y26" s="138">
        <v>14</v>
      </c>
      <c r="Z26" s="138">
        <v>4</v>
      </c>
      <c r="AA26" s="142">
        <f t="shared" si="15"/>
        <v>18</v>
      </c>
      <c r="AB26" s="143">
        <f t="shared" si="3"/>
        <v>0.72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46">
        <v>0</v>
      </c>
      <c r="AI26" s="146">
        <v>0</v>
      </c>
      <c r="AJ26" s="142">
        <f>SUM(AC26:AI26)</f>
        <v>0</v>
      </c>
      <c r="AK26" s="143">
        <f t="shared" si="5"/>
        <v>0</v>
      </c>
    </row>
    <row r="27" spans="2:37" s="132" customFormat="1" ht="30" hidden="1" outlineLevel="1">
      <c r="B27" s="133" t="s">
        <v>104</v>
      </c>
      <c r="C27" s="149">
        <v>40556</v>
      </c>
      <c r="D27" s="149">
        <v>40556</v>
      </c>
      <c r="E27" s="135" t="s">
        <v>76</v>
      </c>
      <c r="F27" s="135" t="s">
        <v>97</v>
      </c>
      <c r="G27" s="135">
        <v>7</v>
      </c>
      <c r="H27" s="135">
        <v>0</v>
      </c>
      <c r="I27" s="136" t="s">
        <v>78</v>
      </c>
      <c r="J27" s="137">
        <v>41</v>
      </c>
      <c r="K27" s="135">
        <v>13</v>
      </c>
      <c r="L27" s="135">
        <v>0</v>
      </c>
      <c r="M27" s="135">
        <v>0</v>
      </c>
      <c r="N27" s="135">
        <v>0</v>
      </c>
      <c r="O27" s="135">
        <v>0</v>
      </c>
      <c r="P27" s="138">
        <v>9</v>
      </c>
      <c r="Q27" s="138">
        <v>4</v>
      </c>
      <c r="R27" s="139">
        <f t="shared" si="14"/>
        <v>13</v>
      </c>
      <c r="S27" s="140">
        <f t="shared" si="1"/>
        <v>0.3170731707317073</v>
      </c>
      <c r="T27" s="135">
        <v>24</v>
      </c>
      <c r="U27" s="135">
        <v>0</v>
      </c>
      <c r="V27" s="135">
        <v>0</v>
      </c>
      <c r="W27" s="135">
        <v>4</v>
      </c>
      <c r="X27" s="135">
        <v>0</v>
      </c>
      <c r="Y27" s="138">
        <v>12</v>
      </c>
      <c r="Z27" s="138">
        <v>16</v>
      </c>
      <c r="AA27" s="142">
        <f t="shared" si="15"/>
        <v>28</v>
      </c>
      <c r="AB27" s="143">
        <f t="shared" si="3"/>
        <v>0.6829268292682927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46">
        <v>0</v>
      </c>
      <c r="AI27" s="146">
        <v>0</v>
      </c>
      <c r="AJ27" s="142">
        <f>SUM(AC27:AI27)</f>
        <v>0</v>
      </c>
      <c r="AK27" s="143">
        <f t="shared" si="5"/>
        <v>0</v>
      </c>
    </row>
    <row r="28" spans="2:37" s="132" customFormat="1" ht="30" hidden="1" outlineLevel="1">
      <c r="B28" s="133" t="s">
        <v>105</v>
      </c>
      <c r="C28" s="149">
        <v>40557</v>
      </c>
      <c r="D28" s="149">
        <v>40557</v>
      </c>
      <c r="E28" s="135" t="s">
        <v>76</v>
      </c>
      <c r="F28" s="135" t="s">
        <v>97</v>
      </c>
      <c r="G28" s="135">
        <v>7</v>
      </c>
      <c r="H28" s="135">
        <v>0</v>
      </c>
      <c r="I28" s="136" t="s">
        <v>78</v>
      </c>
      <c r="J28" s="137">
        <v>39</v>
      </c>
      <c r="K28" s="135">
        <v>16</v>
      </c>
      <c r="L28" s="135">
        <v>0</v>
      </c>
      <c r="M28" s="135">
        <v>0</v>
      </c>
      <c r="N28" s="135">
        <v>0</v>
      </c>
      <c r="O28" s="135">
        <v>0</v>
      </c>
      <c r="P28" s="138">
        <v>7</v>
      </c>
      <c r="Q28" s="138">
        <v>9</v>
      </c>
      <c r="R28" s="139">
        <f t="shared" si="14"/>
        <v>16</v>
      </c>
      <c r="S28" s="140">
        <f t="shared" si="1"/>
        <v>0.41025641025641024</v>
      </c>
      <c r="T28" s="135">
        <v>16</v>
      </c>
      <c r="U28" s="135">
        <v>0</v>
      </c>
      <c r="V28" s="135">
        <v>0</v>
      </c>
      <c r="W28" s="135">
        <v>7</v>
      </c>
      <c r="X28" s="135">
        <v>0</v>
      </c>
      <c r="Y28" s="138">
        <v>16</v>
      </c>
      <c r="Z28" s="138">
        <v>7</v>
      </c>
      <c r="AA28" s="142">
        <f t="shared" si="15"/>
        <v>23</v>
      </c>
      <c r="AB28" s="143">
        <f t="shared" si="3"/>
        <v>0.5897435897435898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46">
        <v>0</v>
      </c>
      <c r="AI28" s="146">
        <v>0</v>
      </c>
      <c r="AJ28" s="142">
        <f>SUM(AC28:AI28)</f>
        <v>0</v>
      </c>
      <c r="AK28" s="143">
        <f t="shared" si="5"/>
        <v>0</v>
      </c>
    </row>
    <row r="29" spans="2:37" s="132" customFormat="1" ht="30" hidden="1" outlineLevel="1">
      <c r="B29" s="133" t="s">
        <v>106</v>
      </c>
      <c r="C29" s="149">
        <v>40560</v>
      </c>
      <c r="D29" s="149">
        <v>40560</v>
      </c>
      <c r="E29" s="135" t="s">
        <v>76</v>
      </c>
      <c r="F29" s="135" t="s">
        <v>97</v>
      </c>
      <c r="G29" s="135">
        <v>7</v>
      </c>
      <c r="H29" s="135">
        <v>0</v>
      </c>
      <c r="I29" s="136" t="s">
        <v>78</v>
      </c>
      <c r="J29" s="137">
        <v>41</v>
      </c>
      <c r="K29" s="135">
        <v>19</v>
      </c>
      <c r="L29" s="135">
        <v>0</v>
      </c>
      <c r="M29" s="135">
        <v>0</v>
      </c>
      <c r="N29" s="135">
        <v>0</v>
      </c>
      <c r="O29" s="135">
        <v>0</v>
      </c>
      <c r="P29" s="138">
        <v>10</v>
      </c>
      <c r="Q29" s="138">
        <v>9</v>
      </c>
      <c r="R29" s="139">
        <f t="shared" si="14"/>
        <v>19</v>
      </c>
      <c r="S29" s="140">
        <f t="shared" si="1"/>
        <v>0.4634146341463415</v>
      </c>
      <c r="T29" s="135">
        <v>18</v>
      </c>
      <c r="U29" s="135">
        <v>0</v>
      </c>
      <c r="V29" s="135">
        <v>0</v>
      </c>
      <c r="W29" s="135">
        <v>4</v>
      </c>
      <c r="X29" s="135">
        <v>0</v>
      </c>
      <c r="Y29" s="138">
        <v>11</v>
      </c>
      <c r="Z29" s="138">
        <v>11</v>
      </c>
      <c r="AA29" s="142">
        <f t="shared" si="15"/>
        <v>22</v>
      </c>
      <c r="AB29" s="143">
        <f t="shared" si="3"/>
        <v>0.5365853658536586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46">
        <v>0</v>
      </c>
      <c r="AI29" s="146">
        <v>0</v>
      </c>
      <c r="AJ29" s="142">
        <f>SUM(AC29:AI29)</f>
        <v>0</v>
      </c>
      <c r="AK29" s="143">
        <f t="shared" si="5"/>
        <v>0</v>
      </c>
    </row>
    <row r="30" spans="2:37" s="132" customFormat="1" ht="30" hidden="1" outlineLevel="1">
      <c r="B30" s="133" t="s">
        <v>107</v>
      </c>
      <c r="C30" s="149">
        <v>40561</v>
      </c>
      <c r="D30" s="149">
        <v>40561</v>
      </c>
      <c r="E30" s="135" t="s">
        <v>76</v>
      </c>
      <c r="F30" s="135" t="s">
        <v>97</v>
      </c>
      <c r="G30" s="135">
        <v>7</v>
      </c>
      <c r="H30" s="135">
        <v>0</v>
      </c>
      <c r="I30" s="136" t="s">
        <v>78</v>
      </c>
      <c r="J30" s="137">
        <v>35</v>
      </c>
      <c r="K30" s="135">
        <v>11</v>
      </c>
      <c r="L30" s="135">
        <v>0</v>
      </c>
      <c r="M30" s="135">
        <v>0</v>
      </c>
      <c r="N30" s="135">
        <v>0</v>
      </c>
      <c r="O30" s="135">
        <v>0</v>
      </c>
      <c r="P30" s="138">
        <v>5</v>
      </c>
      <c r="Q30" s="138">
        <v>6</v>
      </c>
      <c r="R30" s="139">
        <f t="shared" si="14"/>
        <v>11</v>
      </c>
      <c r="S30" s="140">
        <f t="shared" si="1"/>
        <v>0.3142857142857143</v>
      </c>
      <c r="T30" s="135">
        <v>20</v>
      </c>
      <c r="U30" s="135">
        <v>4</v>
      </c>
      <c r="V30" s="135">
        <v>0</v>
      </c>
      <c r="W30" s="135">
        <v>0</v>
      </c>
      <c r="X30" s="135">
        <v>0</v>
      </c>
      <c r="Y30" s="138">
        <v>18</v>
      </c>
      <c r="Z30" s="138">
        <v>6</v>
      </c>
      <c r="AA30" s="142">
        <f t="shared" si="15"/>
        <v>24</v>
      </c>
      <c r="AB30" s="143">
        <f t="shared" si="3"/>
        <v>0.6857142857142857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46">
        <v>0</v>
      </c>
      <c r="AI30" s="146">
        <v>0</v>
      </c>
      <c r="AJ30" s="142">
        <f>SUM(AC30:AI30)</f>
        <v>0</v>
      </c>
      <c r="AK30" s="143">
        <f t="shared" si="5"/>
        <v>0</v>
      </c>
    </row>
    <row r="31" spans="2:37" s="132" customFormat="1" ht="30" hidden="1" outlineLevel="1">
      <c r="B31" s="133" t="s">
        <v>80</v>
      </c>
      <c r="C31" s="149">
        <v>40612</v>
      </c>
      <c r="D31" s="149">
        <v>40613</v>
      </c>
      <c r="E31" s="135" t="s">
        <v>76</v>
      </c>
      <c r="F31" s="135" t="s">
        <v>97</v>
      </c>
      <c r="G31" s="135">
        <v>14</v>
      </c>
      <c r="H31" s="135">
        <v>0</v>
      </c>
      <c r="I31" s="136" t="s">
        <v>81</v>
      </c>
      <c r="J31" s="137">
        <v>25</v>
      </c>
      <c r="K31" s="135">
        <v>17</v>
      </c>
      <c r="L31" s="135">
        <v>0</v>
      </c>
      <c r="M31" s="135">
        <v>0</v>
      </c>
      <c r="N31" s="135">
        <v>0</v>
      </c>
      <c r="O31" s="135">
        <v>0</v>
      </c>
      <c r="P31" s="138">
        <v>8</v>
      </c>
      <c r="Q31" s="138">
        <v>9</v>
      </c>
      <c r="R31" s="139">
        <f t="shared" si="14"/>
        <v>17</v>
      </c>
      <c r="S31" s="140">
        <f t="shared" si="1"/>
        <v>0.68</v>
      </c>
      <c r="T31" s="135">
        <v>8</v>
      </c>
      <c r="U31" s="135">
        <v>0</v>
      </c>
      <c r="V31" s="135">
        <v>0</v>
      </c>
      <c r="W31" s="135">
        <v>0</v>
      </c>
      <c r="X31" s="135">
        <v>0</v>
      </c>
      <c r="Y31" s="138">
        <v>7</v>
      </c>
      <c r="Z31" s="138">
        <v>1</v>
      </c>
      <c r="AA31" s="142">
        <f t="shared" si="15"/>
        <v>8</v>
      </c>
      <c r="AB31" s="143">
        <f t="shared" si="3"/>
        <v>0.32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46">
        <v>0</v>
      </c>
      <c r="AI31" s="146">
        <v>0</v>
      </c>
      <c r="AJ31" s="142">
        <f>SUM(AC31:AG31)</f>
        <v>0</v>
      </c>
      <c r="AK31" s="143">
        <f t="shared" si="5"/>
        <v>0</v>
      </c>
    </row>
    <row r="32" spans="2:37" s="132" customFormat="1" ht="30" hidden="1" outlineLevel="1">
      <c r="B32" s="133" t="s">
        <v>108</v>
      </c>
      <c r="C32" s="149">
        <v>40620</v>
      </c>
      <c r="D32" s="149">
        <v>40620</v>
      </c>
      <c r="E32" s="135" t="s">
        <v>76</v>
      </c>
      <c r="F32" s="135" t="s">
        <v>97</v>
      </c>
      <c r="G32" s="135">
        <v>7</v>
      </c>
      <c r="H32" s="135">
        <v>0</v>
      </c>
      <c r="I32" s="136" t="s">
        <v>83</v>
      </c>
      <c r="J32" s="137">
        <v>29</v>
      </c>
      <c r="K32" s="135">
        <v>14</v>
      </c>
      <c r="L32" s="135">
        <v>0</v>
      </c>
      <c r="M32" s="135">
        <v>0</v>
      </c>
      <c r="N32" s="135">
        <v>0</v>
      </c>
      <c r="O32" s="135">
        <v>0</v>
      </c>
      <c r="P32" s="138">
        <v>6</v>
      </c>
      <c r="Q32" s="138">
        <v>8</v>
      </c>
      <c r="R32" s="139">
        <f t="shared" si="14"/>
        <v>14</v>
      </c>
      <c r="S32" s="140">
        <f t="shared" si="1"/>
        <v>0.4827586206896552</v>
      </c>
      <c r="T32" s="135">
        <v>15</v>
      </c>
      <c r="U32" s="135">
        <v>0</v>
      </c>
      <c r="V32" s="135">
        <v>0</v>
      </c>
      <c r="W32" s="135">
        <v>0</v>
      </c>
      <c r="X32" s="135">
        <v>0</v>
      </c>
      <c r="Y32" s="135">
        <v>9</v>
      </c>
      <c r="Z32" s="135">
        <v>6</v>
      </c>
      <c r="AA32" s="142">
        <f t="shared" si="15"/>
        <v>15</v>
      </c>
      <c r="AB32" s="143">
        <f t="shared" si="3"/>
        <v>0.5172413793103449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46">
        <v>0</v>
      </c>
      <c r="AI32" s="146">
        <v>0</v>
      </c>
      <c r="AJ32" s="142">
        <f>SUM(AC32:AI32)</f>
        <v>0</v>
      </c>
      <c r="AK32" s="143">
        <f t="shared" si="5"/>
        <v>0</v>
      </c>
    </row>
    <row r="33" spans="1:37" s="144" customFormat="1" ht="45" hidden="1" outlineLevel="1">
      <c r="A33" s="132"/>
      <c r="B33" s="133" t="s">
        <v>109</v>
      </c>
      <c r="C33" s="149">
        <v>40620</v>
      </c>
      <c r="D33" s="149">
        <v>40620</v>
      </c>
      <c r="E33" s="135" t="s">
        <v>76</v>
      </c>
      <c r="F33" s="135" t="s">
        <v>97</v>
      </c>
      <c r="G33" s="135">
        <v>7</v>
      </c>
      <c r="H33" s="135">
        <v>0</v>
      </c>
      <c r="I33" s="136" t="s">
        <v>85</v>
      </c>
      <c r="J33" s="137">
        <v>53</v>
      </c>
      <c r="K33" s="135">
        <v>31</v>
      </c>
      <c r="L33" s="135">
        <v>0</v>
      </c>
      <c r="M33" s="135">
        <v>0</v>
      </c>
      <c r="N33" s="135">
        <v>0</v>
      </c>
      <c r="O33" s="135">
        <v>0</v>
      </c>
      <c r="P33" s="138">
        <v>16</v>
      </c>
      <c r="Q33" s="138">
        <v>15</v>
      </c>
      <c r="R33" s="139">
        <f t="shared" si="14"/>
        <v>31</v>
      </c>
      <c r="S33" s="140">
        <f t="shared" si="1"/>
        <v>0.5849056603773585</v>
      </c>
      <c r="T33" s="135">
        <v>22</v>
      </c>
      <c r="U33" s="135">
        <v>0</v>
      </c>
      <c r="V33" s="135">
        <v>0</v>
      </c>
      <c r="W33" s="135">
        <v>0</v>
      </c>
      <c r="X33" s="135">
        <v>0</v>
      </c>
      <c r="Y33" s="138">
        <v>7</v>
      </c>
      <c r="Z33" s="138">
        <v>15</v>
      </c>
      <c r="AA33" s="142">
        <f t="shared" si="15"/>
        <v>22</v>
      </c>
      <c r="AB33" s="143">
        <f t="shared" si="3"/>
        <v>0.41509433962264153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46">
        <v>0</v>
      </c>
      <c r="AI33" s="146">
        <v>0</v>
      </c>
      <c r="AJ33" s="142">
        <f>SUM(AC33:AG33)</f>
        <v>0</v>
      </c>
      <c r="AK33" s="143">
        <f t="shared" si="5"/>
        <v>0</v>
      </c>
    </row>
    <row r="34" spans="2:37" s="156" customFormat="1" ht="21">
      <c r="B34" s="117" t="s">
        <v>110</v>
      </c>
      <c r="C34" s="118"/>
      <c r="D34" s="118"/>
      <c r="E34" s="119"/>
      <c r="F34" s="119"/>
      <c r="G34" s="119">
        <f>SUM(G35:G61)</f>
        <v>794</v>
      </c>
      <c r="H34" s="119">
        <f>SUM(H35:H61)</f>
        <v>2085</v>
      </c>
      <c r="I34" s="157"/>
      <c r="J34" s="158">
        <f aca="true" t="shared" si="17" ref="J34:R34">+J35+J43</f>
        <v>822</v>
      </c>
      <c r="K34" s="119">
        <f t="shared" si="17"/>
        <v>176</v>
      </c>
      <c r="L34" s="119">
        <f t="shared" si="17"/>
        <v>69</v>
      </c>
      <c r="M34" s="119">
        <f t="shared" si="17"/>
        <v>1</v>
      </c>
      <c r="N34" s="119">
        <f t="shared" si="17"/>
        <v>101</v>
      </c>
      <c r="O34" s="119">
        <f t="shared" si="17"/>
        <v>161</v>
      </c>
      <c r="P34" s="119">
        <f t="shared" si="17"/>
        <v>310</v>
      </c>
      <c r="Q34" s="119">
        <f t="shared" si="17"/>
        <v>198</v>
      </c>
      <c r="R34" s="120">
        <f t="shared" si="17"/>
        <v>508</v>
      </c>
      <c r="S34" s="159">
        <f t="shared" si="1"/>
        <v>0.6180048661800487</v>
      </c>
      <c r="T34" s="119">
        <f aca="true" t="shared" si="18" ref="T34:AA34">+T35+T43</f>
        <v>79</v>
      </c>
      <c r="U34" s="119">
        <f t="shared" si="18"/>
        <v>15</v>
      </c>
      <c r="V34" s="119">
        <f t="shared" si="18"/>
        <v>1</v>
      </c>
      <c r="W34" s="119">
        <f t="shared" si="18"/>
        <v>88</v>
      </c>
      <c r="X34" s="119">
        <f t="shared" si="18"/>
        <v>86</v>
      </c>
      <c r="Y34" s="119">
        <f t="shared" si="18"/>
        <v>170</v>
      </c>
      <c r="Z34" s="119">
        <f t="shared" si="18"/>
        <v>99</v>
      </c>
      <c r="AA34" s="123">
        <f t="shared" si="18"/>
        <v>269</v>
      </c>
      <c r="AB34" s="160">
        <f t="shared" si="3"/>
        <v>0.32725060827250607</v>
      </c>
      <c r="AC34" s="119">
        <f aca="true" t="shared" si="19" ref="AC34:AJ34">+AC35+AC43</f>
        <v>11</v>
      </c>
      <c r="AD34" s="119">
        <f t="shared" si="19"/>
        <v>15</v>
      </c>
      <c r="AE34" s="119">
        <f t="shared" si="19"/>
        <v>0</v>
      </c>
      <c r="AF34" s="119">
        <f t="shared" si="19"/>
        <v>10</v>
      </c>
      <c r="AG34" s="119">
        <f t="shared" si="19"/>
        <v>9</v>
      </c>
      <c r="AH34" s="119">
        <f t="shared" si="19"/>
        <v>31</v>
      </c>
      <c r="AI34" s="119">
        <f t="shared" si="19"/>
        <v>14</v>
      </c>
      <c r="AJ34" s="123">
        <f t="shared" si="19"/>
        <v>45</v>
      </c>
      <c r="AK34" s="160">
        <f t="shared" si="5"/>
        <v>0.05474452554744526</v>
      </c>
    </row>
    <row r="35" spans="2:37" s="161" customFormat="1" ht="16.5">
      <c r="B35" s="127" t="s">
        <v>74</v>
      </c>
      <c r="C35" s="162"/>
      <c r="D35" s="162"/>
      <c r="E35" s="163"/>
      <c r="F35" s="163"/>
      <c r="G35" s="163">
        <f>SUM(G36:G42)</f>
        <v>397</v>
      </c>
      <c r="H35" s="163">
        <f>SUM(H36:H42)</f>
        <v>840</v>
      </c>
      <c r="I35" s="164"/>
      <c r="J35" s="129">
        <f aca="true" t="shared" si="20" ref="J35:R35">SUM(J36:J42)</f>
        <v>283</v>
      </c>
      <c r="K35" s="129">
        <f t="shared" si="20"/>
        <v>80</v>
      </c>
      <c r="L35" s="129">
        <f t="shared" si="20"/>
        <v>18</v>
      </c>
      <c r="M35" s="129">
        <f t="shared" si="20"/>
        <v>0</v>
      </c>
      <c r="N35" s="129">
        <f t="shared" si="20"/>
        <v>15</v>
      </c>
      <c r="O35" s="129">
        <f t="shared" si="20"/>
        <v>54</v>
      </c>
      <c r="P35" s="129">
        <f t="shared" si="20"/>
        <v>112</v>
      </c>
      <c r="Q35" s="129">
        <f t="shared" si="20"/>
        <v>55</v>
      </c>
      <c r="R35" s="129">
        <f t="shared" si="20"/>
        <v>167</v>
      </c>
      <c r="S35" s="130">
        <f t="shared" si="1"/>
        <v>0.5901060070671378</v>
      </c>
      <c r="T35" s="129">
        <f aca="true" t="shared" si="21" ref="T35:AA35">SUM(T36:T42)</f>
        <v>20</v>
      </c>
      <c r="U35" s="129">
        <f t="shared" si="21"/>
        <v>6</v>
      </c>
      <c r="V35" s="129">
        <f t="shared" si="21"/>
        <v>0</v>
      </c>
      <c r="W35" s="129">
        <f t="shared" si="21"/>
        <v>18</v>
      </c>
      <c r="X35" s="129">
        <f t="shared" si="21"/>
        <v>27</v>
      </c>
      <c r="Y35" s="129">
        <f t="shared" si="21"/>
        <v>52</v>
      </c>
      <c r="Z35" s="129">
        <f t="shared" si="21"/>
        <v>19</v>
      </c>
      <c r="AA35" s="129">
        <f t="shared" si="21"/>
        <v>71</v>
      </c>
      <c r="AB35" s="130">
        <f t="shared" si="3"/>
        <v>0.2508833922261484</v>
      </c>
      <c r="AC35" s="129">
        <f aca="true" t="shared" si="22" ref="AC35:AJ35">SUM(AC36:AC42)</f>
        <v>11</v>
      </c>
      <c r="AD35" s="129">
        <f t="shared" si="22"/>
        <v>15</v>
      </c>
      <c r="AE35" s="129">
        <f t="shared" si="22"/>
        <v>0</v>
      </c>
      <c r="AF35" s="129">
        <f t="shared" si="22"/>
        <v>10</v>
      </c>
      <c r="AG35" s="129">
        <f t="shared" si="22"/>
        <v>9</v>
      </c>
      <c r="AH35" s="129">
        <f t="shared" si="22"/>
        <v>31</v>
      </c>
      <c r="AI35" s="129">
        <f t="shared" si="22"/>
        <v>14</v>
      </c>
      <c r="AJ35" s="129">
        <f t="shared" si="22"/>
        <v>45</v>
      </c>
      <c r="AK35" s="130">
        <f t="shared" si="5"/>
        <v>0.15901060070671377</v>
      </c>
    </row>
    <row r="36" spans="2:37" s="165" customFormat="1" ht="45" hidden="1" outlineLevel="1">
      <c r="B36" s="166" t="s">
        <v>111</v>
      </c>
      <c r="C36" s="167">
        <v>40645</v>
      </c>
      <c r="D36" s="167">
        <v>40709</v>
      </c>
      <c r="E36" s="168" t="s">
        <v>112</v>
      </c>
      <c r="F36" s="168" t="s">
        <v>77</v>
      </c>
      <c r="G36" s="168">
        <v>63</v>
      </c>
      <c r="H36" s="169">
        <v>120</v>
      </c>
      <c r="I36" s="170" t="s">
        <v>85</v>
      </c>
      <c r="J36" s="158">
        <v>41</v>
      </c>
      <c r="K36" s="168">
        <v>6</v>
      </c>
      <c r="L36" s="168">
        <v>4</v>
      </c>
      <c r="M36" s="168">
        <v>0</v>
      </c>
      <c r="N36" s="168">
        <v>1</v>
      </c>
      <c r="O36" s="168">
        <v>13</v>
      </c>
      <c r="P36" s="119">
        <v>15</v>
      </c>
      <c r="Q36" s="119">
        <v>9</v>
      </c>
      <c r="R36" s="120">
        <f aca="true" t="shared" si="23" ref="R36:R42">+O36+N36+M36+L36+K36</f>
        <v>24</v>
      </c>
      <c r="S36" s="171">
        <f t="shared" si="1"/>
        <v>0.5853658536585366</v>
      </c>
      <c r="T36" s="168">
        <v>3</v>
      </c>
      <c r="U36" s="168">
        <v>1</v>
      </c>
      <c r="V36" s="168">
        <v>0</v>
      </c>
      <c r="W36" s="168">
        <v>1</v>
      </c>
      <c r="X36" s="168">
        <v>4</v>
      </c>
      <c r="Y36" s="119">
        <v>8</v>
      </c>
      <c r="Z36" s="119">
        <v>1</v>
      </c>
      <c r="AA36" s="123">
        <f aca="true" t="shared" si="24" ref="AA36:AA42">SUM(T36:X36)</f>
        <v>9</v>
      </c>
      <c r="AB36" s="172">
        <f t="shared" si="3"/>
        <v>0.21951219512195122</v>
      </c>
      <c r="AC36" s="168">
        <v>2</v>
      </c>
      <c r="AD36" s="168">
        <v>3</v>
      </c>
      <c r="AE36" s="168">
        <v>0</v>
      </c>
      <c r="AF36" s="168">
        <v>0</v>
      </c>
      <c r="AG36" s="168">
        <v>3</v>
      </c>
      <c r="AH36" s="157">
        <v>6</v>
      </c>
      <c r="AI36" s="157">
        <v>2</v>
      </c>
      <c r="AJ36" s="142">
        <f aca="true" t="shared" si="25" ref="AJ36:AJ42">SUM(AC36:AG36)</f>
        <v>8</v>
      </c>
      <c r="AK36" s="172">
        <f t="shared" si="5"/>
        <v>0.1951219512195122</v>
      </c>
    </row>
    <row r="37" spans="1:37" s="175" customFormat="1" ht="45" hidden="1" outlineLevel="1">
      <c r="A37" s="165"/>
      <c r="B37" s="166" t="s">
        <v>113</v>
      </c>
      <c r="C37" s="167">
        <v>40638</v>
      </c>
      <c r="D37" s="167">
        <v>40724</v>
      </c>
      <c r="E37" s="168" t="s">
        <v>114</v>
      </c>
      <c r="F37" s="168" t="s">
        <v>115</v>
      </c>
      <c r="G37" s="168">
        <v>63</v>
      </c>
      <c r="H37" s="169">
        <v>120</v>
      </c>
      <c r="I37" s="170" t="s">
        <v>85</v>
      </c>
      <c r="J37" s="158">
        <v>39</v>
      </c>
      <c r="K37" s="168">
        <v>20</v>
      </c>
      <c r="L37" s="168">
        <v>4</v>
      </c>
      <c r="M37" s="173">
        <v>0</v>
      </c>
      <c r="N37" s="168">
        <v>0</v>
      </c>
      <c r="O37" s="168">
        <v>2</v>
      </c>
      <c r="P37" s="119">
        <v>12</v>
      </c>
      <c r="Q37" s="119">
        <v>14</v>
      </c>
      <c r="R37" s="120">
        <f t="shared" si="23"/>
        <v>26</v>
      </c>
      <c r="S37" s="171">
        <f t="shared" si="1"/>
        <v>0.6666666666666666</v>
      </c>
      <c r="T37" s="168">
        <v>4</v>
      </c>
      <c r="U37" s="168">
        <v>0</v>
      </c>
      <c r="V37" s="173">
        <v>0</v>
      </c>
      <c r="W37" s="168">
        <v>0</v>
      </c>
      <c r="X37" s="168">
        <v>2</v>
      </c>
      <c r="Y37" s="119">
        <v>3</v>
      </c>
      <c r="Z37" s="119">
        <v>3</v>
      </c>
      <c r="AA37" s="123">
        <f t="shared" si="24"/>
        <v>6</v>
      </c>
      <c r="AB37" s="172">
        <f t="shared" si="3"/>
        <v>0.15384615384615385</v>
      </c>
      <c r="AC37" s="168">
        <v>6</v>
      </c>
      <c r="AD37" s="168">
        <v>1</v>
      </c>
      <c r="AE37" s="173">
        <v>0</v>
      </c>
      <c r="AF37" s="168">
        <v>0</v>
      </c>
      <c r="AG37" s="168">
        <v>0</v>
      </c>
      <c r="AH37" s="174">
        <v>5</v>
      </c>
      <c r="AI37" s="174">
        <v>2</v>
      </c>
      <c r="AJ37" s="142">
        <f t="shared" si="25"/>
        <v>7</v>
      </c>
      <c r="AK37" s="172">
        <f t="shared" si="5"/>
        <v>0.1794871794871795</v>
      </c>
    </row>
    <row r="38" spans="1:37" s="175" customFormat="1" ht="45" hidden="1" outlineLevel="1">
      <c r="A38" s="165"/>
      <c r="B38" s="166" t="s">
        <v>116</v>
      </c>
      <c r="C38" s="167">
        <v>40638</v>
      </c>
      <c r="D38" s="167">
        <v>40710</v>
      </c>
      <c r="E38" s="168" t="s">
        <v>114</v>
      </c>
      <c r="F38" s="168" t="s">
        <v>77</v>
      </c>
      <c r="G38" s="168">
        <v>63</v>
      </c>
      <c r="H38" s="169">
        <v>120</v>
      </c>
      <c r="I38" s="170" t="s">
        <v>85</v>
      </c>
      <c r="J38" s="158">
        <v>33</v>
      </c>
      <c r="K38" s="168">
        <v>12</v>
      </c>
      <c r="L38" s="168">
        <v>1</v>
      </c>
      <c r="M38" s="168">
        <v>0</v>
      </c>
      <c r="N38" s="168">
        <v>1</v>
      </c>
      <c r="O38" s="168">
        <v>8</v>
      </c>
      <c r="P38" s="119">
        <v>15</v>
      </c>
      <c r="Q38" s="119">
        <v>7</v>
      </c>
      <c r="R38" s="120">
        <f t="shared" si="23"/>
        <v>22</v>
      </c>
      <c r="S38" s="171">
        <f aca="true" t="shared" si="26" ref="S38:S69">+R38/J38</f>
        <v>0.6666666666666666</v>
      </c>
      <c r="T38" s="168">
        <v>1</v>
      </c>
      <c r="U38" s="168">
        <v>1</v>
      </c>
      <c r="V38" s="168">
        <v>0</v>
      </c>
      <c r="W38" s="168">
        <v>0</v>
      </c>
      <c r="X38" s="168">
        <v>3</v>
      </c>
      <c r="Y38" s="119">
        <v>5</v>
      </c>
      <c r="Z38" s="119">
        <v>0</v>
      </c>
      <c r="AA38" s="123">
        <f t="shared" si="24"/>
        <v>5</v>
      </c>
      <c r="AB38" s="172">
        <f aca="true" t="shared" si="27" ref="AB38:AB69">+AA38/J38</f>
        <v>0.15151515151515152</v>
      </c>
      <c r="AC38" s="168">
        <v>2</v>
      </c>
      <c r="AD38" s="168">
        <v>1</v>
      </c>
      <c r="AE38" s="168">
        <v>0</v>
      </c>
      <c r="AF38" s="168">
        <v>0</v>
      </c>
      <c r="AG38" s="168">
        <v>3</v>
      </c>
      <c r="AH38" s="174">
        <v>4</v>
      </c>
      <c r="AI38" s="174">
        <v>2</v>
      </c>
      <c r="AJ38" s="142">
        <f t="shared" si="25"/>
        <v>6</v>
      </c>
      <c r="AK38" s="172">
        <f t="shared" si="5"/>
        <v>0.18181818181818182</v>
      </c>
    </row>
    <row r="39" spans="2:37" s="165" customFormat="1" ht="30" hidden="1" outlineLevel="1">
      <c r="B39" s="166" t="s">
        <v>117</v>
      </c>
      <c r="C39" s="167">
        <v>40661</v>
      </c>
      <c r="D39" s="167">
        <v>40724</v>
      </c>
      <c r="E39" s="168" t="s">
        <v>114</v>
      </c>
      <c r="F39" s="168" t="s">
        <v>77</v>
      </c>
      <c r="G39" s="168">
        <v>54</v>
      </c>
      <c r="H39" s="169">
        <v>120</v>
      </c>
      <c r="I39" s="170" t="s">
        <v>78</v>
      </c>
      <c r="J39" s="158">
        <v>46</v>
      </c>
      <c r="K39" s="168">
        <v>20</v>
      </c>
      <c r="L39" s="168">
        <v>3</v>
      </c>
      <c r="M39" s="168">
        <v>0</v>
      </c>
      <c r="N39" s="168">
        <v>1</v>
      </c>
      <c r="O39" s="168">
        <v>2</v>
      </c>
      <c r="P39" s="119">
        <v>22</v>
      </c>
      <c r="Q39" s="119">
        <v>4</v>
      </c>
      <c r="R39" s="120">
        <f t="shared" si="23"/>
        <v>26</v>
      </c>
      <c r="S39" s="171">
        <f t="shared" si="26"/>
        <v>0.5652173913043478</v>
      </c>
      <c r="T39" s="168">
        <v>6</v>
      </c>
      <c r="U39" s="168">
        <v>4</v>
      </c>
      <c r="V39" s="168">
        <v>0</v>
      </c>
      <c r="W39" s="168">
        <v>0</v>
      </c>
      <c r="X39" s="168">
        <v>0</v>
      </c>
      <c r="Y39" s="119">
        <v>8</v>
      </c>
      <c r="Z39" s="119">
        <v>2</v>
      </c>
      <c r="AA39" s="123">
        <f t="shared" si="24"/>
        <v>10</v>
      </c>
      <c r="AB39" s="172">
        <f t="shared" si="27"/>
        <v>0.21739130434782608</v>
      </c>
      <c r="AC39" s="168">
        <v>0</v>
      </c>
      <c r="AD39" s="168">
        <v>10</v>
      </c>
      <c r="AE39" s="168">
        <v>0</v>
      </c>
      <c r="AF39" s="168">
        <v>0</v>
      </c>
      <c r="AG39" s="168">
        <v>0</v>
      </c>
      <c r="AH39" s="157">
        <v>8</v>
      </c>
      <c r="AI39" s="157">
        <v>2</v>
      </c>
      <c r="AJ39" s="142">
        <f t="shared" si="25"/>
        <v>10</v>
      </c>
      <c r="AK39" s="172">
        <f t="shared" si="5"/>
        <v>0.21739130434782608</v>
      </c>
    </row>
    <row r="40" spans="2:37" s="165" customFormat="1" ht="30" hidden="1" outlineLevel="1">
      <c r="B40" s="166" t="s">
        <v>118</v>
      </c>
      <c r="C40" s="167">
        <v>40652</v>
      </c>
      <c r="D40" s="167">
        <v>40714</v>
      </c>
      <c r="E40" s="168" t="s">
        <v>114</v>
      </c>
      <c r="F40" s="168" t="s">
        <v>115</v>
      </c>
      <c r="G40" s="168">
        <v>63</v>
      </c>
      <c r="H40" s="169">
        <v>120</v>
      </c>
      <c r="I40" s="170" t="s">
        <v>78</v>
      </c>
      <c r="J40" s="158">
        <v>39</v>
      </c>
      <c r="K40" s="168">
        <v>5</v>
      </c>
      <c r="L40" s="168">
        <v>4</v>
      </c>
      <c r="M40" s="168">
        <v>0</v>
      </c>
      <c r="N40" s="168">
        <v>0</v>
      </c>
      <c r="O40" s="168">
        <v>16</v>
      </c>
      <c r="P40" s="119">
        <v>19</v>
      </c>
      <c r="Q40" s="119">
        <v>6</v>
      </c>
      <c r="R40" s="120">
        <f t="shared" si="23"/>
        <v>25</v>
      </c>
      <c r="S40" s="171">
        <f t="shared" si="26"/>
        <v>0.6410256410256411</v>
      </c>
      <c r="T40" s="168">
        <v>3</v>
      </c>
      <c r="U40" s="168">
        <v>0</v>
      </c>
      <c r="V40" s="168">
        <v>0</v>
      </c>
      <c r="W40" s="168">
        <v>0</v>
      </c>
      <c r="X40" s="168">
        <v>8</v>
      </c>
      <c r="Y40" s="157">
        <v>7</v>
      </c>
      <c r="Z40" s="157">
        <v>4</v>
      </c>
      <c r="AA40" s="123">
        <f t="shared" si="24"/>
        <v>11</v>
      </c>
      <c r="AB40" s="172">
        <f t="shared" si="27"/>
        <v>0.28205128205128205</v>
      </c>
      <c r="AC40" s="168">
        <v>0</v>
      </c>
      <c r="AD40" s="168">
        <v>0</v>
      </c>
      <c r="AE40" s="168">
        <v>0</v>
      </c>
      <c r="AF40" s="168">
        <v>0</v>
      </c>
      <c r="AG40" s="168">
        <v>3</v>
      </c>
      <c r="AH40" s="119">
        <v>3</v>
      </c>
      <c r="AI40" s="119">
        <v>0</v>
      </c>
      <c r="AJ40" s="142">
        <f t="shared" si="25"/>
        <v>3</v>
      </c>
      <c r="AK40" s="172">
        <f t="shared" si="5"/>
        <v>0.07692307692307693</v>
      </c>
    </row>
    <row r="41" spans="2:37" s="165" customFormat="1" ht="30" hidden="1" outlineLevel="1">
      <c r="B41" s="166" t="s">
        <v>119</v>
      </c>
      <c r="C41" s="167">
        <v>40638</v>
      </c>
      <c r="D41" s="167">
        <v>40725</v>
      </c>
      <c r="E41" s="168" t="s">
        <v>114</v>
      </c>
      <c r="F41" s="168" t="s">
        <v>115</v>
      </c>
      <c r="G41" s="168">
        <v>63</v>
      </c>
      <c r="H41" s="169">
        <v>120</v>
      </c>
      <c r="I41" s="170" t="s">
        <v>83</v>
      </c>
      <c r="J41" s="158">
        <v>35</v>
      </c>
      <c r="K41" s="168">
        <v>15</v>
      </c>
      <c r="L41" s="168">
        <v>2</v>
      </c>
      <c r="M41" s="168">
        <v>0</v>
      </c>
      <c r="N41" s="168">
        <v>0</v>
      </c>
      <c r="O41" s="168">
        <v>10</v>
      </c>
      <c r="P41" s="119">
        <v>19</v>
      </c>
      <c r="Q41" s="119">
        <v>8</v>
      </c>
      <c r="R41" s="120">
        <f t="shared" si="23"/>
        <v>27</v>
      </c>
      <c r="S41" s="171">
        <f t="shared" si="26"/>
        <v>0.7714285714285715</v>
      </c>
      <c r="T41" s="168">
        <v>1</v>
      </c>
      <c r="U41" s="168">
        <v>0</v>
      </c>
      <c r="V41" s="168">
        <v>0</v>
      </c>
      <c r="W41" s="168">
        <v>0</v>
      </c>
      <c r="X41" s="168">
        <v>6</v>
      </c>
      <c r="Y41" s="119">
        <v>7</v>
      </c>
      <c r="Z41" s="119">
        <v>0</v>
      </c>
      <c r="AA41" s="123">
        <f t="shared" si="24"/>
        <v>7</v>
      </c>
      <c r="AB41" s="172">
        <f t="shared" si="27"/>
        <v>0.2</v>
      </c>
      <c r="AC41" s="168">
        <v>1</v>
      </c>
      <c r="AD41" s="168">
        <v>0</v>
      </c>
      <c r="AE41" s="168">
        <v>0</v>
      </c>
      <c r="AF41" s="168">
        <v>0</v>
      </c>
      <c r="AG41" s="168">
        <v>0</v>
      </c>
      <c r="AH41" s="157">
        <v>1</v>
      </c>
      <c r="AI41" s="157">
        <v>0</v>
      </c>
      <c r="AJ41" s="142">
        <f t="shared" si="25"/>
        <v>1</v>
      </c>
      <c r="AK41" s="172">
        <f t="shared" si="5"/>
        <v>0.02857142857142857</v>
      </c>
    </row>
    <row r="42" spans="2:37" s="165" customFormat="1" ht="30" hidden="1" outlineLevel="1">
      <c r="B42" s="166" t="s">
        <v>120</v>
      </c>
      <c r="C42" s="167">
        <v>40636</v>
      </c>
      <c r="D42" s="167">
        <v>40716</v>
      </c>
      <c r="E42" s="168" t="s">
        <v>114</v>
      </c>
      <c r="F42" s="168" t="s">
        <v>77</v>
      </c>
      <c r="G42" s="168">
        <v>28</v>
      </c>
      <c r="H42" s="169">
        <v>120</v>
      </c>
      <c r="I42" s="170" t="s">
        <v>83</v>
      </c>
      <c r="J42" s="158">
        <v>50</v>
      </c>
      <c r="K42" s="168">
        <v>2</v>
      </c>
      <c r="L42" s="168">
        <v>0</v>
      </c>
      <c r="M42" s="168">
        <v>0</v>
      </c>
      <c r="N42" s="168">
        <v>12</v>
      </c>
      <c r="O42" s="168">
        <v>3</v>
      </c>
      <c r="P42" s="119">
        <v>10</v>
      </c>
      <c r="Q42" s="119">
        <v>7</v>
      </c>
      <c r="R42" s="120">
        <f t="shared" si="23"/>
        <v>17</v>
      </c>
      <c r="S42" s="171">
        <f t="shared" si="26"/>
        <v>0.34</v>
      </c>
      <c r="T42" s="168">
        <v>2</v>
      </c>
      <c r="U42" s="168">
        <v>0</v>
      </c>
      <c r="V42" s="168">
        <v>0</v>
      </c>
      <c r="W42" s="168">
        <v>17</v>
      </c>
      <c r="X42" s="168">
        <v>4</v>
      </c>
      <c r="Y42" s="119">
        <v>14</v>
      </c>
      <c r="Z42" s="119">
        <v>9</v>
      </c>
      <c r="AA42" s="123">
        <f t="shared" si="24"/>
        <v>23</v>
      </c>
      <c r="AB42" s="172">
        <f t="shared" si="27"/>
        <v>0.46</v>
      </c>
      <c r="AC42" s="168">
        <v>0</v>
      </c>
      <c r="AD42" s="168">
        <v>0</v>
      </c>
      <c r="AE42" s="168">
        <v>0</v>
      </c>
      <c r="AF42" s="168">
        <v>10</v>
      </c>
      <c r="AG42" s="168">
        <v>0</v>
      </c>
      <c r="AH42" s="119">
        <v>4</v>
      </c>
      <c r="AI42" s="119">
        <v>6</v>
      </c>
      <c r="AJ42" s="142">
        <f t="shared" si="25"/>
        <v>10</v>
      </c>
      <c r="AK42" s="172">
        <f t="shared" si="5"/>
        <v>0.2</v>
      </c>
    </row>
    <row r="43" spans="2:37" s="131" customFormat="1" ht="16.5">
      <c r="B43" s="127" t="s">
        <v>95</v>
      </c>
      <c r="C43" s="128"/>
      <c r="D43" s="128"/>
      <c r="E43" s="129"/>
      <c r="F43" s="129"/>
      <c r="G43" s="129">
        <f>SUM(G45:G61)</f>
        <v>0</v>
      </c>
      <c r="H43" s="129">
        <f>SUM(H45:H61)</f>
        <v>195</v>
      </c>
      <c r="I43" s="176"/>
      <c r="J43" s="129">
        <f aca="true" t="shared" si="28" ref="J43:R43">SUM(J44:J61)</f>
        <v>539</v>
      </c>
      <c r="K43" s="129">
        <f t="shared" si="28"/>
        <v>96</v>
      </c>
      <c r="L43" s="129">
        <f t="shared" si="28"/>
        <v>51</v>
      </c>
      <c r="M43" s="129">
        <f t="shared" si="28"/>
        <v>1</v>
      </c>
      <c r="N43" s="129">
        <f t="shared" si="28"/>
        <v>86</v>
      </c>
      <c r="O43" s="129">
        <f t="shared" si="28"/>
        <v>107</v>
      </c>
      <c r="P43" s="129">
        <f t="shared" si="28"/>
        <v>198</v>
      </c>
      <c r="Q43" s="129">
        <f t="shared" si="28"/>
        <v>143</v>
      </c>
      <c r="R43" s="177">
        <f t="shared" si="28"/>
        <v>341</v>
      </c>
      <c r="S43" s="178">
        <f t="shared" si="26"/>
        <v>0.6326530612244898</v>
      </c>
      <c r="T43" s="129">
        <f aca="true" t="shared" si="29" ref="T43:AA43">SUM(T44:T61)</f>
        <v>59</v>
      </c>
      <c r="U43" s="129">
        <f t="shared" si="29"/>
        <v>9</v>
      </c>
      <c r="V43" s="129">
        <f t="shared" si="29"/>
        <v>1</v>
      </c>
      <c r="W43" s="129">
        <f t="shared" si="29"/>
        <v>70</v>
      </c>
      <c r="X43" s="129">
        <f t="shared" si="29"/>
        <v>59</v>
      </c>
      <c r="Y43" s="129">
        <f t="shared" si="29"/>
        <v>118</v>
      </c>
      <c r="Z43" s="129">
        <f t="shared" si="29"/>
        <v>80</v>
      </c>
      <c r="AA43" s="129">
        <f t="shared" si="29"/>
        <v>198</v>
      </c>
      <c r="AB43" s="179">
        <f t="shared" si="27"/>
        <v>0.3673469387755102</v>
      </c>
      <c r="AC43" s="129">
        <f aca="true" t="shared" si="30" ref="AC43:AJ43">SUM(AC44:AC61)</f>
        <v>0</v>
      </c>
      <c r="AD43" s="129">
        <f t="shared" si="30"/>
        <v>0</v>
      </c>
      <c r="AE43" s="129">
        <f t="shared" si="30"/>
        <v>0</v>
      </c>
      <c r="AF43" s="129">
        <f t="shared" si="30"/>
        <v>0</v>
      </c>
      <c r="AG43" s="129">
        <f t="shared" si="30"/>
        <v>0</v>
      </c>
      <c r="AH43" s="129">
        <f t="shared" si="30"/>
        <v>0</v>
      </c>
      <c r="AI43" s="129">
        <f t="shared" si="30"/>
        <v>0</v>
      </c>
      <c r="AJ43" s="129">
        <f t="shared" si="30"/>
        <v>0</v>
      </c>
      <c r="AK43" s="179">
        <v>0</v>
      </c>
    </row>
    <row r="44" spans="1:37" s="165" customFormat="1" ht="30" hidden="1" outlineLevel="1">
      <c r="A44" s="165">
        <v>1</v>
      </c>
      <c r="B44" s="180" t="s">
        <v>121</v>
      </c>
      <c r="C44" s="167">
        <v>40645</v>
      </c>
      <c r="D44" s="167">
        <v>40662</v>
      </c>
      <c r="E44" s="168" t="s">
        <v>114</v>
      </c>
      <c r="F44" s="168" t="s">
        <v>122</v>
      </c>
      <c r="G44" s="168">
        <v>0</v>
      </c>
      <c r="H44" s="168">
        <v>15</v>
      </c>
      <c r="I44" s="170" t="s">
        <v>89</v>
      </c>
      <c r="J44" s="158">
        <v>23</v>
      </c>
      <c r="K44" s="168">
        <v>0</v>
      </c>
      <c r="L44" s="168">
        <v>0</v>
      </c>
      <c r="M44" s="168">
        <v>0</v>
      </c>
      <c r="N44" s="168">
        <v>2</v>
      </c>
      <c r="O44" s="168">
        <v>14</v>
      </c>
      <c r="P44" s="119">
        <v>12</v>
      </c>
      <c r="Q44" s="119">
        <v>4</v>
      </c>
      <c r="R44" s="120">
        <f aca="true" t="shared" si="31" ref="R44:R61">+O44+N44+M44+L44+K44</f>
        <v>16</v>
      </c>
      <c r="S44" s="171">
        <f t="shared" si="26"/>
        <v>0.6956521739130435</v>
      </c>
      <c r="T44" s="168">
        <v>0</v>
      </c>
      <c r="U44" s="168">
        <v>0</v>
      </c>
      <c r="V44" s="168">
        <v>0</v>
      </c>
      <c r="W44" s="168">
        <v>0</v>
      </c>
      <c r="X44" s="168">
        <v>7</v>
      </c>
      <c r="Y44" s="119">
        <v>7</v>
      </c>
      <c r="Z44" s="119">
        <v>0</v>
      </c>
      <c r="AA44" s="123">
        <f aca="true" t="shared" si="32" ref="AA44:AA62">SUM(T44:X44)</f>
        <v>7</v>
      </c>
      <c r="AB44" s="172">
        <f t="shared" si="27"/>
        <v>0.30434782608695654</v>
      </c>
      <c r="AC44" s="168">
        <v>0</v>
      </c>
      <c r="AD44" s="168">
        <v>0</v>
      </c>
      <c r="AE44" s="168">
        <v>0</v>
      </c>
      <c r="AF44" s="168">
        <v>0</v>
      </c>
      <c r="AG44" s="168">
        <v>0</v>
      </c>
      <c r="AH44" s="168">
        <v>0</v>
      </c>
      <c r="AI44" s="168">
        <v>0</v>
      </c>
      <c r="AJ44" s="123">
        <f aca="true" t="shared" si="33" ref="AJ44:AJ50">SUM(AC44:AG44)</f>
        <v>0</v>
      </c>
      <c r="AK44" s="172">
        <f aca="true" t="shared" si="34" ref="AK44:AK83">+AJ44/J44</f>
        <v>0</v>
      </c>
    </row>
    <row r="45" spans="1:37" s="165" customFormat="1" ht="30" hidden="1" outlineLevel="1">
      <c r="A45" s="165">
        <v>2</v>
      </c>
      <c r="B45" s="180" t="s">
        <v>123</v>
      </c>
      <c r="C45" s="167">
        <v>40673</v>
      </c>
      <c r="D45" s="167">
        <v>40687</v>
      </c>
      <c r="E45" s="168" t="s">
        <v>114</v>
      </c>
      <c r="F45" s="168" t="s">
        <v>122</v>
      </c>
      <c r="G45" s="168">
        <v>0</v>
      </c>
      <c r="H45" s="168">
        <v>15</v>
      </c>
      <c r="I45" s="170" t="s">
        <v>89</v>
      </c>
      <c r="J45" s="158">
        <v>19</v>
      </c>
      <c r="K45" s="168">
        <v>0</v>
      </c>
      <c r="L45" s="168">
        <v>0</v>
      </c>
      <c r="M45" s="168">
        <v>0</v>
      </c>
      <c r="N45" s="168">
        <v>0</v>
      </c>
      <c r="O45" s="168">
        <v>14</v>
      </c>
      <c r="P45" s="119">
        <v>13</v>
      </c>
      <c r="Q45" s="119">
        <v>1</v>
      </c>
      <c r="R45" s="120">
        <f t="shared" si="31"/>
        <v>14</v>
      </c>
      <c r="S45" s="171">
        <f t="shared" si="26"/>
        <v>0.7368421052631579</v>
      </c>
      <c r="T45" s="168">
        <v>1</v>
      </c>
      <c r="U45" s="168">
        <v>0</v>
      </c>
      <c r="V45" s="168">
        <v>0</v>
      </c>
      <c r="W45" s="168">
        <v>0</v>
      </c>
      <c r="X45" s="168">
        <v>4</v>
      </c>
      <c r="Y45" s="119">
        <v>3</v>
      </c>
      <c r="Z45" s="119">
        <v>2</v>
      </c>
      <c r="AA45" s="123">
        <f t="shared" si="32"/>
        <v>5</v>
      </c>
      <c r="AB45" s="172">
        <f t="shared" si="27"/>
        <v>0.2631578947368421</v>
      </c>
      <c r="AC45" s="168">
        <v>0</v>
      </c>
      <c r="AD45" s="168">
        <v>0</v>
      </c>
      <c r="AE45" s="168">
        <v>0</v>
      </c>
      <c r="AF45" s="168">
        <v>0</v>
      </c>
      <c r="AG45" s="168">
        <v>0</v>
      </c>
      <c r="AH45" s="168">
        <v>0</v>
      </c>
      <c r="AI45" s="168">
        <v>0</v>
      </c>
      <c r="AJ45" s="123">
        <f t="shared" si="33"/>
        <v>0</v>
      </c>
      <c r="AK45" s="172">
        <f t="shared" si="34"/>
        <v>0</v>
      </c>
    </row>
    <row r="46" spans="1:37" s="165" customFormat="1" ht="30" hidden="1" outlineLevel="1">
      <c r="A46" s="165">
        <v>3</v>
      </c>
      <c r="B46" s="180" t="s">
        <v>124</v>
      </c>
      <c r="C46" s="167">
        <v>40694</v>
      </c>
      <c r="D46" s="167">
        <v>40697</v>
      </c>
      <c r="E46" s="168" t="s">
        <v>114</v>
      </c>
      <c r="F46" s="168" t="s">
        <v>122</v>
      </c>
      <c r="G46" s="168">
        <v>0</v>
      </c>
      <c r="H46" s="168">
        <v>15</v>
      </c>
      <c r="I46" s="170" t="s">
        <v>89</v>
      </c>
      <c r="J46" s="158">
        <v>21</v>
      </c>
      <c r="K46" s="168">
        <v>0</v>
      </c>
      <c r="L46" s="168">
        <v>0</v>
      </c>
      <c r="M46" s="168">
        <v>0</v>
      </c>
      <c r="N46" s="168">
        <v>1</v>
      </c>
      <c r="O46" s="168">
        <v>12</v>
      </c>
      <c r="P46" s="119">
        <v>7</v>
      </c>
      <c r="Q46" s="119">
        <v>6</v>
      </c>
      <c r="R46" s="120">
        <f t="shared" si="31"/>
        <v>13</v>
      </c>
      <c r="S46" s="171">
        <f t="shared" si="26"/>
        <v>0.6190476190476191</v>
      </c>
      <c r="T46" s="168">
        <v>0</v>
      </c>
      <c r="U46" s="168">
        <v>0</v>
      </c>
      <c r="V46" s="168">
        <v>0</v>
      </c>
      <c r="W46" s="168">
        <v>0</v>
      </c>
      <c r="X46" s="168">
        <v>8</v>
      </c>
      <c r="Y46" s="119">
        <v>8</v>
      </c>
      <c r="Z46" s="119">
        <v>0</v>
      </c>
      <c r="AA46" s="123">
        <f t="shared" si="32"/>
        <v>8</v>
      </c>
      <c r="AB46" s="172">
        <f t="shared" si="27"/>
        <v>0.38095238095238093</v>
      </c>
      <c r="AC46" s="168">
        <v>0</v>
      </c>
      <c r="AD46" s="168">
        <v>0</v>
      </c>
      <c r="AE46" s="168">
        <v>0</v>
      </c>
      <c r="AF46" s="168">
        <v>0</v>
      </c>
      <c r="AG46" s="168">
        <v>0</v>
      </c>
      <c r="AH46" s="168">
        <v>0</v>
      </c>
      <c r="AI46" s="168">
        <v>0</v>
      </c>
      <c r="AJ46" s="123">
        <f t="shared" si="33"/>
        <v>0</v>
      </c>
      <c r="AK46" s="172">
        <f t="shared" si="34"/>
        <v>0</v>
      </c>
    </row>
    <row r="47" spans="1:37" s="165" customFormat="1" ht="30" hidden="1" outlineLevel="1">
      <c r="A47" s="165">
        <v>4</v>
      </c>
      <c r="B47" s="180" t="s">
        <v>125</v>
      </c>
      <c r="C47" s="167">
        <v>40647</v>
      </c>
      <c r="D47" s="167">
        <v>40648</v>
      </c>
      <c r="E47" s="168" t="s">
        <v>114</v>
      </c>
      <c r="F47" s="168" t="s">
        <v>97</v>
      </c>
      <c r="G47" s="168">
        <v>0</v>
      </c>
      <c r="H47" s="168">
        <v>14</v>
      </c>
      <c r="I47" s="170" t="s">
        <v>81</v>
      </c>
      <c r="J47" s="158">
        <v>22</v>
      </c>
      <c r="K47" s="168">
        <v>0</v>
      </c>
      <c r="L47" s="168">
        <v>0</v>
      </c>
      <c r="M47" s="168">
        <v>0</v>
      </c>
      <c r="N47" s="168">
        <v>0</v>
      </c>
      <c r="O47" s="168">
        <v>4</v>
      </c>
      <c r="P47" s="119">
        <v>4</v>
      </c>
      <c r="Q47" s="119">
        <v>0</v>
      </c>
      <c r="R47" s="120">
        <f t="shared" si="31"/>
        <v>4</v>
      </c>
      <c r="S47" s="171">
        <f t="shared" si="26"/>
        <v>0.18181818181818182</v>
      </c>
      <c r="T47" s="168">
        <v>0</v>
      </c>
      <c r="U47" s="168">
        <v>0</v>
      </c>
      <c r="V47" s="168">
        <v>0</v>
      </c>
      <c r="W47" s="168">
        <v>0</v>
      </c>
      <c r="X47" s="168">
        <v>18</v>
      </c>
      <c r="Y47" s="119">
        <v>13</v>
      </c>
      <c r="Z47" s="119">
        <v>5</v>
      </c>
      <c r="AA47" s="123">
        <f t="shared" si="32"/>
        <v>18</v>
      </c>
      <c r="AB47" s="172">
        <f t="shared" si="27"/>
        <v>0.8181818181818182</v>
      </c>
      <c r="AC47" s="168">
        <v>0</v>
      </c>
      <c r="AD47" s="168">
        <v>0</v>
      </c>
      <c r="AE47" s="168">
        <v>0</v>
      </c>
      <c r="AF47" s="168">
        <v>0</v>
      </c>
      <c r="AG47" s="168">
        <v>0</v>
      </c>
      <c r="AH47" s="168">
        <v>0</v>
      </c>
      <c r="AI47" s="168">
        <v>0</v>
      </c>
      <c r="AJ47" s="123">
        <f t="shared" si="33"/>
        <v>0</v>
      </c>
      <c r="AK47" s="172">
        <f t="shared" si="34"/>
        <v>0</v>
      </c>
    </row>
    <row r="48" spans="1:37" s="165" customFormat="1" ht="45" hidden="1" outlineLevel="1">
      <c r="A48" s="165">
        <v>5</v>
      </c>
      <c r="B48" s="180" t="s">
        <v>126</v>
      </c>
      <c r="C48" s="167">
        <v>40648</v>
      </c>
      <c r="D48" s="167">
        <v>40648</v>
      </c>
      <c r="E48" s="168" t="s">
        <v>114</v>
      </c>
      <c r="F48" s="168" t="s">
        <v>97</v>
      </c>
      <c r="G48" s="168">
        <v>0</v>
      </c>
      <c r="H48" s="168">
        <v>7</v>
      </c>
      <c r="I48" s="170" t="s">
        <v>85</v>
      </c>
      <c r="J48" s="158">
        <v>20</v>
      </c>
      <c r="K48" s="168">
        <v>14</v>
      </c>
      <c r="L48" s="168">
        <v>0</v>
      </c>
      <c r="M48" s="168">
        <v>0</v>
      </c>
      <c r="N48" s="168">
        <v>0</v>
      </c>
      <c r="O48" s="168">
        <v>0</v>
      </c>
      <c r="P48" s="119">
        <v>7</v>
      </c>
      <c r="Q48" s="119">
        <v>7</v>
      </c>
      <c r="R48" s="120">
        <f t="shared" si="31"/>
        <v>14</v>
      </c>
      <c r="S48" s="171">
        <f t="shared" si="26"/>
        <v>0.7</v>
      </c>
      <c r="T48" s="168">
        <v>6</v>
      </c>
      <c r="U48" s="168">
        <v>0</v>
      </c>
      <c r="V48" s="168">
        <v>0</v>
      </c>
      <c r="W48" s="168">
        <v>0</v>
      </c>
      <c r="X48" s="168">
        <v>0</v>
      </c>
      <c r="Y48" s="119">
        <v>3</v>
      </c>
      <c r="Z48" s="119">
        <v>3</v>
      </c>
      <c r="AA48" s="123">
        <f t="shared" si="32"/>
        <v>6</v>
      </c>
      <c r="AB48" s="172">
        <f t="shared" si="27"/>
        <v>0.3</v>
      </c>
      <c r="AC48" s="168">
        <v>0</v>
      </c>
      <c r="AD48" s="168">
        <v>0</v>
      </c>
      <c r="AE48" s="168">
        <v>0</v>
      </c>
      <c r="AF48" s="168">
        <v>0</v>
      </c>
      <c r="AG48" s="168">
        <v>0</v>
      </c>
      <c r="AH48" s="168">
        <v>0</v>
      </c>
      <c r="AI48" s="168">
        <v>0</v>
      </c>
      <c r="AJ48" s="123">
        <f t="shared" si="33"/>
        <v>0</v>
      </c>
      <c r="AK48" s="172">
        <f t="shared" si="34"/>
        <v>0</v>
      </c>
    </row>
    <row r="49" spans="1:37" s="165" customFormat="1" ht="30" hidden="1" outlineLevel="1">
      <c r="A49" s="165">
        <v>6</v>
      </c>
      <c r="B49" s="180" t="s">
        <v>127</v>
      </c>
      <c r="C49" s="167">
        <v>40682</v>
      </c>
      <c r="D49" s="167">
        <v>40683</v>
      </c>
      <c r="E49" s="168" t="s">
        <v>114</v>
      </c>
      <c r="F49" s="168" t="s">
        <v>97</v>
      </c>
      <c r="G49" s="168">
        <v>0</v>
      </c>
      <c r="H49" s="168">
        <v>14</v>
      </c>
      <c r="I49" s="170" t="s">
        <v>81</v>
      </c>
      <c r="J49" s="158">
        <v>20</v>
      </c>
      <c r="K49" s="168">
        <v>0</v>
      </c>
      <c r="L49" s="168">
        <v>12</v>
      </c>
      <c r="M49" s="168">
        <v>0</v>
      </c>
      <c r="N49" s="168">
        <v>0</v>
      </c>
      <c r="O49" s="168">
        <v>1</v>
      </c>
      <c r="P49" s="119">
        <v>8</v>
      </c>
      <c r="Q49" s="119">
        <v>5</v>
      </c>
      <c r="R49" s="120">
        <f t="shared" si="31"/>
        <v>13</v>
      </c>
      <c r="S49" s="171">
        <f t="shared" si="26"/>
        <v>0.65</v>
      </c>
      <c r="T49" s="168">
        <v>0</v>
      </c>
      <c r="U49" s="168">
        <v>6</v>
      </c>
      <c r="V49" s="168">
        <v>0</v>
      </c>
      <c r="W49" s="168">
        <v>0</v>
      </c>
      <c r="X49" s="168">
        <v>1</v>
      </c>
      <c r="Y49" s="119">
        <v>5</v>
      </c>
      <c r="Z49" s="119">
        <v>2</v>
      </c>
      <c r="AA49" s="123">
        <f t="shared" si="32"/>
        <v>7</v>
      </c>
      <c r="AB49" s="172">
        <f t="shared" si="27"/>
        <v>0.35</v>
      </c>
      <c r="AC49" s="168">
        <v>0</v>
      </c>
      <c r="AD49" s="168">
        <v>0</v>
      </c>
      <c r="AE49" s="168">
        <v>0</v>
      </c>
      <c r="AF49" s="168">
        <v>0</v>
      </c>
      <c r="AG49" s="168">
        <v>0</v>
      </c>
      <c r="AH49" s="168">
        <v>0</v>
      </c>
      <c r="AI49" s="168">
        <v>0</v>
      </c>
      <c r="AJ49" s="123">
        <f t="shared" si="33"/>
        <v>0</v>
      </c>
      <c r="AK49" s="172">
        <f t="shared" si="34"/>
        <v>0</v>
      </c>
    </row>
    <row r="50" spans="1:37" s="175" customFormat="1" ht="30" hidden="1" outlineLevel="1">
      <c r="A50" s="165">
        <v>7</v>
      </c>
      <c r="B50" s="180" t="s">
        <v>128</v>
      </c>
      <c r="C50" s="167">
        <v>40651</v>
      </c>
      <c r="D50" s="167">
        <v>40653</v>
      </c>
      <c r="E50" s="168" t="s">
        <v>114</v>
      </c>
      <c r="F50" s="168" t="s">
        <v>129</v>
      </c>
      <c r="G50" s="168">
        <v>0</v>
      </c>
      <c r="H50" s="168">
        <v>18</v>
      </c>
      <c r="I50" s="170" t="s">
        <v>81</v>
      </c>
      <c r="J50" s="158">
        <v>19</v>
      </c>
      <c r="K50" s="168">
        <v>0</v>
      </c>
      <c r="L50" s="168">
        <v>18</v>
      </c>
      <c r="M50" s="168">
        <v>0</v>
      </c>
      <c r="N50" s="168">
        <v>0</v>
      </c>
      <c r="O50" s="168">
        <v>0</v>
      </c>
      <c r="P50" s="119">
        <v>10</v>
      </c>
      <c r="Q50" s="119">
        <v>8</v>
      </c>
      <c r="R50" s="120">
        <f t="shared" si="31"/>
        <v>18</v>
      </c>
      <c r="S50" s="171">
        <f t="shared" si="26"/>
        <v>0.9473684210526315</v>
      </c>
      <c r="T50" s="168">
        <v>0</v>
      </c>
      <c r="U50" s="168">
        <v>1</v>
      </c>
      <c r="V50" s="168">
        <v>0</v>
      </c>
      <c r="W50" s="168">
        <v>0</v>
      </c>
      <c r="X50" s="168">
        <v>0</v>
      </c>
      <c r="Y50" s="119">
        <v>0</v>
      </c>
      <c r="Z50" s="119">
        <v>1</v>
      </c>
      <c r="AA50" s="123">
        <f t="shared" si="32"/>
        <v>1</v>
      </c>
      <c r="AB50" s="172">
        <f t="shared" si="27"/>
        <v>0.05263157894736842</v>
      </c>
      <c r="AC50" s="168">
        <v>0</v>
      </c>
      <c r="AD50" s="168">
        <v>0</v>
      </c>
      <c r="AE50" s="168">
        <v>0</v>
      </c>
      <c r="AF50" s="168">
        <v>0</v>
      </c>
      <c r="AG50" s="168">
        <v>0</v>
      </c>
      <c r="AH50" s="168">
        <v>0</v>
      </c>
      <c r="AI50" s="168">
        <v>0</v>
      </c>
      <c r="AJ50" s="123">
        <f t="shared" si="33"/>
        <v>0</v>
      </c>
      <c r="AK50" s="172">
        <f t="shared" si="34"/>
        <v>0</v>
      </c>
    </row>
    <row r="51" spans="1:37" s="175" customFormat="1" ht="30" hidden="1" outlineLevel="1">
      <c r="A51" s="165">
        <v>9</v>
      </c>
      <c r="B51" s="180" t="s">
        <v>130</v>
      </c>
      <c r="C51" s="167">
        <v>40715</v>
      </c>
      <c r="D51" s="167">
        <v>40715</v>
      </c>
      <c r="E51" s="168" t="s">
        <v>114</v>
      </c>
      <c r="F51" s="168"/>
      <c r="G51" s="168">
        <v>0</v>
      </c>
      <c r="H51" s="168">
        <v>7</v>
      </c>
      <c r="I51" s="170" t="s">
        <v>81</v>
      </c>
      <c r="J51" s="158">
        <v>21</v>
      </c>
      <c r="K51" s="168">
        <v>0</v>
      </c>
      <c r="L51" s="168">
        <v>0</v>
      </c>
      <c r="M51" s="168">
        <v>0</v>
      </c>
      <c r="N51" s="168">
        <v>0</v>
      </c>
      <c r="O51" s="168">
        <v>11</v>
      </c>
      <c r="P51" s="119">
        <v>6</v>
      </c>
      <c r="Q51" s="119">
        <v>5</v>
      </c>
      <c r="R51" s="120">
        <f t="shared" si="31"/>
        <v>11</v>
      </c>
      <c r="S51" s="171">
        <f t="shared" si="26"/>
        <v>0.5238095238095238</v>
      </c>
      <c r="T51" s="168">
        <v>0</v>
      </c>
      <c r="U51" s="168">
        <v>0</v>
      </c>
      <c r="V51" s="168">
        <v>0</v>
      </c>
      <c r="W51" s="168">
        <v>0</v>
      </c>
      <c r="X51" s="168">
        <v>10</v>
      </c>
      <c r="Y51" s="119">
        <v>7</v>
      </c>
      <c r="Z51" s="119">
        <v>3</v>
      </c>
      <c r="AA51" s="123">
        <f t="shared" si="32"/>
        <v>10</v>
      </c>
      <c r="AB51" s="172">
        <f t="shared" si="27"/>
        <v>0.47619047619047616</v>
      </c>
      <c r="AC51" s="168"/>
      <c r="AD51" s="168"/>
      <c r="AE51" s="168"/>
      <c r="AF51" s="168"/>
      <c r="AG51" s="168"/>
      <c r="AH51" s="168"/>
      <c r="AI51" s="168"/>
      <c r="AJ51" s="123"/>
      <c r="AK51" s="172">
        <f t="shared" si="34"/>
        <v>0</v>
      </c>
    </row>
    <row r="52" spans="1:37" s="175" customFormat="1" ht="30" hidden="1" outlineLevel="1">
      <c r="A52" s="165">
        <v>10</v>
      </c>
      <c r="B52" s="180" t="s">
        <v>131</v>
      </c>
      <c r="C52" s="167">
        <v>40715</v>
      </c>
      <c r="D52" s="167">
        <v>40716</v>
      </c>
      <c r="E52" s="168" t="s">
        <v>114</v>
      </c>
      <c r="F52" s="168" t="s">
        <v>129</v>
      </c>
      <c r="G52" s="168">
        <v>0</v>
      </c>
      <c r="H52" s="168">
        <v>14</v>
      </c>
      <c r="I52" s="170" t="s">
        <v>81</v>
      </c>
      <c r="J52" s="158">
        <v>23</v>
      </c>
      <c r="K52" s="168">
        <v>0</v>
      </c>
      <c r="L52" s="168">
        <v>21</v>
      </c>
      <c r="M52" s="168">
        <v>0</v>
      </c>
      <c r="N52" s="168">
        <v>0</v>
      </c>
      <c r="O52" s="168">
        <v>0</v>
      </c>
      <c r="P52" s="119">
        <v>16</v>
      </c>
      <c r="Q52" s="119">
        <v>5</v>
      </c>
      <c r="R52" s="120">
        <f t="shared" si="31"/>
        <v>21</v>
      </c>
      <c r="S52" s="171">
        <f t="shared" si="26"/>
        <v>0.9130434782608695</v>
      </c>
      <c r="T52" s="168">
        <v>0</v>
      </c>
      <c r="U52" s="168">
        <v>2</v>
      </c>
      <c r="V52" s="168">
        <v>0</v>
      </c>
      <c r="W52" s="168">
        <v>0</v>
      </c>
      <c r="X52" s="168">
        <v>0</v>
      </c>
      <c r="Y52" s="119">
        <v>2</v>
      </c>
      <c r="Z52" s="119">
        <v>0</v>
      </c>
      <c r="AA52" s="123">
        <f t="shared" si="32"/>
        <v>2</v>
      </c>
      <c r="AB52" s="172">
        <f t="shared" si="27"/>
        <v>0.08695652173913043</v>
      </c>
      <c r="AC52" s="168">
        <v>0</v>
      </c>
      <c r="AD52" s="168">
        <v>0</v>
      </c>
      <c r="AE52" s="168">
        <v>0</v>
      </c>
      <c r="AF52" s="168">
        <v>0</v>
      </c>
      <c r="AG52" s="168">
        <v>0</v>
      </c>
      <c r="AH52" s="168">
        <v>0</v>
      </c>
      <c r="AI52" s="168">
        <v>0</v>
      </c>
      <c r="AJ52" s="123">
        <f>SUM(AC52:AG52)</f>
        <v>0</v>
      </c>
      <c r="AK52" s="172">
        <f t="shared" si="34"/>
        <v>0</v>
      </c>
    </row>
    <row r="53" spans="1:37" s="175" customFormat="1" ht="30" hidden="1" outlineLevel="1">
      <c r="A53" s="165">
        <v>11</v>
      </c>
      <c r="B53" s="180" t="s">
        <v>132</v>
      </c>
      <c r="C53" s="167">
        <v>40702</v>
      </c>
      <c r="D53" s="167">
        <v>40703</v>
      </c>
      <c r="E53" s="168" t="s">
        <v>114</v>
      </c>
      <c r="F53" s="168" t="s">
        <v>97</v>
      </c>
      <c r="G53" s="168">
        <v>0</v>
      </c>
      <c r="H53" s="168">
        <v>7</v>
      </c>
      <c r="I53" s="170" t="s">
        <v>83</v>
      </c>
      <c r="J53" s="158">
        <f>5+44+25</f>
        <v>74</v>
      </c>
      <c r="K53" s="168">
        <v>0</v>
      </c>
      <c r="L53" s="168">
        <v>0</v>
      </c>
      <c r="M53" s="168">
        <v>0</v>
      </c>
      <c r="N53" s="168">
        <v>39</v>
      </c>
      <c r="O53" s="168">
        <v>0</v>
      </c>
      <c r="P53" s="119">
        <v>21</v>
      </c>
      <c r="Q53" s="119">
        <v>18</v>
      </c>
      <c r="R53" s="120">
        <f t="shared" si="31"/>
        <v>39</v>
      </c>
      <c r="S53" s="171">
        <f t="shared" si="26"/>
        <v>0.527027027027027</v>
      </c>
      <c r="T53" s="168">
        <v>0</v>
      </c>
      <c r="U53" s="168">
        <v>0</v>
      </c>
      <c r="V53" s="168">
        <v>0</v>
      </c>
      <c r="W53" s="168">
        <v>35</v>
      </c>
      <c r="X53" s="168">
        <v>0</v>
      </c>
      <c r="Y53" s="119">
        <v>16</v>
      </c>
      <c r="Z53" s="119">
        <v>19</v>
      </c>
      <c r="AA53" s="123">
        <f t="shared" si="32"/>
        <v>35</v>
      </c>
      <c r="AB53" s="172">
        <f t="shared" si="27"/>
        <v>0.47297297297297297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23">
        <f>SUM(AC53:AG53)</f>
        <v>0</v>
      </c>
      <c r="AK53" s="172">
        <f t="shared" si="34"/>
        <v>0</v>
      </c>
    </row>
    <row r="54" spans="1:37" s="175" customFormat="1" ht="30" hidden="1" outlineLevel="1">
      <c r="A54" s="165">
        <v>12</v>
      </c>
      <c r="B54" s="180" t="s">
        <v>133</v>
      </c>
      <c r="C54" s="167">
        <v>40700</v>
      </c>
      <c r="D54" s="167">
        <v>40701</v>
      </c>
      <c r="E54" s="168" t="s">
        <v>114</v>
      </c>
      <c r="F54" s="168" t="s">
        <v>97</v>
      </c>
      <c r="G54" s="168">
        <v>0</v>
      </c>
      <c r="H54" s="168">
        <v>14</v>
      </c>
      <c r="I54" s="170" t="s">
        <v>83</v>
      </c>
      <c r="J54" s="158">
        <f>5+44+25</f>
        <v>74</v>
      </c>
      <c r="K54" s="168">
        <v>0</v>
      </c>
      <c r="L54" s="168">
        <v>0</v>
      </c>
      <c r="M54" s="168">
        <v>0</v>
      </c>
      <c r="N54" s="168">
        <v>39</v>
      </c>
      <c r="O54" s="168">
        <v>0</v>
      </c>
      <c r="P54" s="119">
        <v>21</v>
      </c>
      <c r="Q54" s="119">
        <v>18</v>
      </c>
      <c r="R54" s="120">
        <f t="shared" si="31"/>
        <v>39</v>
      </c>
      <c r="S54" s="171">
        <f t="shared" si="26"/>
        <v>0.527027027027027</v>
      </c>
      <c r="T54" s="168">
        <v>0</v>
      </c>
      <c r="U54" s="168">
        <v>0</v>
      </c>
      <c r="V54" s="168">
        <v>0</v>
      </c>
      <c r="W54" s="168">
        <v>35</v>
      </c>
      <c r="X54" s="168">
        <v>0</v>
      </c>
      <c r="Y54" s="119">
        <v>16</v>
      </c>
      <c r="Z54" s="119">
        <v>19</v>
      </c>
      <c r="AA54" s="123">
        <f t="shared" si="32"/>
        <v>35</v>
      </c>
      <c r="AB54" s="172">
        <f t="shared" si="27"/>
        <v>0.47297297297297297</v>
      </c>
      <c r="AC54" s="168">
        <v>0</v>
      </c>
      <c r="AD54" s="168">
        <v>0</v>
      </c>
      <c r="AE54" s="168">
        <v>0</v>
      </c>
      <c r="AF54" s="168">
        <v>0</v>
      </c>
      <c r="AG54" s="168">
        <v>0</v>
      </c>
      <c r="AH54" s="168">
        <v>0</v>
      </c>
      <c r="AI54" s="168">
        <v>0</v>
      </c>
      <c r="AJ54" s="123">
        <f>SUM(AC54:AG54)</f>
        <v>0</v>
      </c>
      <c r="AK54" s="172">
        <f t="shared" si="34"/>
        <v>0</v>
      </c>
    </row>
    <row r="55" spans="1:37" s="175" customFormat="1" ht="30" hidden="1" outlineLevel="1">
      <c r="A55" s="165">
        <v>13</v>
      </c>
      <c r="B55" s="180" t="s">
        <v>134</v>
      </c>
      <c r="C55" s="167">
        <v>40661</v>
      </c>
      <c r="D55" s="167">
        <v>40661</v>
      </c>
      <c r="E55" s="168" t="s">
        <v>114</v>
      </c>
      <c r="F55" s="168" t="s">
        <v>97</v>
      </c>
      <c r="G55" s="168">
        <v>0</v>
      </c>
      <c r="H55" s="169">
        <v>7</v>
      </c>
      <c r="I55" s="170" t="s">
        <v>81</v>
      </c>
      <c r="J55" s="158">
        <v>18</v>
      </c>
      <c r="K55" s="168">
        <v>10</v>
      </c>
      <c r="L55" s="168">
        <v>0</v>
      </c>
      <c r="M55" s="168">
        <v>0</v>
      </c>
      <c r="N55" s="168">
        <v>0</v>
      </c>
      <c r="O55" s="168">
        <v>0</v>
      </c>
      <c r="P55" s="119">
        <v>5</v>
      </c>
      <c r="Q55" s="119">
        <v>5</v>
      </c>
      <c r="R55" s="120">
        <f t="shared" si="31"/>
        <v>10</v>
      </c>
      <c r="S55" s="171">
        <f t="shared" si="26"/>
        <v>0.5555555555555556</v>
      </c>
      <c r="T55" s="168">
        <v>8</v>
      </c>
      <c r="U55" s="168">
        <v>0</v>
      </c>
      <c r="V55" s="168">
        <v>0</v>
      </c>
      <c r="W55" s="168">
        <v>0</v>
      </c>
      <c r="X55" s="168">
        <v>0</v>
      </c>
      <c r="Y55" s="119">
        <v>4</v>
      </c>
      <c r="Z55" s="119">
        <v>4</v>
      </c>
      <c r="AA55" s="123">
        <f t="shared" si="32"/>
        <v>8</v>
      </c>
      <c r="AB55" s="172"/>
      <c r="AC55" s="168"/>
      <c r="AD55" s="168"/>
      <c r="AE55" s="168"/>
      <c r="AF55" s="168"/>
      <c r="AG55" s="168"/>
      <c r="AH55" s="168"/>
      <c r="AI55" s="168"/>
      <c r="AJ55" s="123"/>
      <c r="AK55" s="172">
        <f t="shared" si="34"/>
        <v>0</v>
      </c>
    </row>
    <row r="56" spans="1:37" s="175" customFormat="1" ht="45" hidden="1" outlineLevel="1">
      <c r="A56" s="165">
        <v>14</v>
      </c>
      <c r="B56" s="180" t="s">
        <v>135</v>
      </c>
      <c r="C56" s="167">
        <v>40689</v>
      </c>
      <c r="D56" s="167">
        <v>40690</v>
      </c>
      <c r="E56" s="168" t="s">
        <v>114</v>
      </c>
      <c r="F56" s="168" t="s">
        <v>97</v>
      </c>
      <c r="G56" s="168">
        <v>0</v>
      </c>
      <c r="H56" s="169">
        <v>14</v>
      </c>
      <c r="I56" s="170" t="s">
        <v>85</v>
      </c>
      <c r="J56" s="158">
        <v>18</v>
      </c>
      <c r="K56" s="168">
        <v>0</v>
      </c>
      <c r="L56" s="168">
        <v>0</v>
      </c>
      <c r="M56" s="168">
        <v>0</v>
      </c>
      <c r="N56" s="168">
        <v>0</v>
      </c>
      <c r="O56" s="168">
        <v>14</v>
      </c>
      <c r="P56" s="119">
        <v>8</v>
      </c>
      <c r="Q56" s="119">
        <v>6</v>
      </c>
      <c r="R56" s="120">
        <f t="shared" si="31"/>
        <v>14</v>
      </c>
      <c r="S56" s="171">
        <f t="shared" si="26"/>
        <v>0.7777777777777778</v>
      </c>
      <c r="T56" s="168">
        <v>0</v>
      </c>
      <c r="U56" s="168">
        <v>0</v>
      </c>
      <c r="V56" s="168">
        <v>0</v>
      </c>
      <c r="W56" s="168">
        <v>0</v>
      </c>
      <c r="X56" s="168">
        <v>4</v>
      </c>
      <c r="Y56" s="119">
        <v>3</v>
      </c>
      <c r="Z56" s="119">
        <v>1</v>
      </c>
      <c r="AA56" s="123">
        <f t="shared" si="32"/>
        <v>4</v>
      </c>
      <c r="AB56" s="172">
        <f>+AA56/J56</f>
        <v>0.2222222222222222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23">
        <f>SUM(AC56:AG56)</f>
        <v>0</v>
      </c>
      <c r="AK56" s="172">
        <f t="shared" si="34"/>
        <v>0</v>
      </c>
    </row>
    <row r="57" spans="1:37" s="165" customFormat="1" ht="45" hidden="1" outlineLevel="1">
      <c r="A57" s="165">
        <v>15</v>
      </c>
      <c r="B57" s="181" t="s">
        <v>136</v>
      </c>
      <c r="C57" s="167">
        <v>40669</v>
      </c>
      <c r="D57" s="167">
        <v>40669</v>
      </c>
      <c r="E57" s="168" t="s">
        <v>114</v>
      </c>
      <c r="F57" s="168" t="s">
        <v>97</v>
      </c>
      <c r="G57" s="168">
        <v>0</v>
      </c>
      <c r="H57" s="168">
        <v>7</v>
      </c>
      <c r="I57" s="170" t="s">
        <v>85</v>
      </c>
      <c r="J57" s="158">
        <v>31</v>
      </c>
      <c r="K57" s="168">
        <v>19</v>
      </c>
      <c r="L57" s="168">
        <v>0</v>
      </c>
      <c r="M57" s="168">
        <v>0</v>
      </c>
      <c r="N57" s="168">
        <v>0</v>
      </c>
      <c r="O57" s="168">
        <v>5</v>
      </c>
      <c r="P57" s="119">
        <v>12</v>
      </c>
      <c r="Q57" s="119">
        <v>12</v>
      </c>
      <c r="R57" s="120">
        <f t="shared" si="31"/>
        <v>24</v>
      </c>
      <c r="S57" s="171">
        <f t="shared" si="26"/>
        <v>0.7741935483870968</v>
      </c>
      <c r="T57" s="168">
        <v>5</v>
      </c>
      <c r="U57" s="168">
        <v>0</v>
      </c>
      <c r="V57" s="168">
        <v>0</v>
      </c>
      <c r="W57" s="168">
        <v>0</v>
      </c>
      <c r="X57" s="168">
        <v>2</v>
      </c>
      <c r="Y57" s="119">
        <v>5</v>
      </c>
      <c r="Z57" s="119">
        <v>2</v>
      </c>
      <c r="AA57" s="123">
        <f t="shared" si="32"/>
        <v>7</v>
      </c>
      <c r="AB57" s="172">
        <f>+AA57/J57</f>
        <v>0.22580645161290322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57">
        <v>0</v>
      </c>
      <c r="AI57" s="157">
        <v>0</v>
      </c>
      <c r="AJ57" s="123">
        <f>SUM(AC57:AG57)</f>
        <v>0</v>
      </c>
      <c r="AK57" s="172">
        <f t="shared" si="34"/>
        <v>0</v>
      </c>
    </row>
    <row r="58" spans="1:37" s="165" customFormat="1" ht="45" hidden="1" outlineLevel="1">
      <c r="A58" s="165">
        <v>16</v>
      </c>
      <c r="B58" s="181" t="s">
        <v>137</v>
      </c>
      <c r="C58" s="167">
        <v>40676</v>
      </c>
      <c r="D58" s="167">
        <v>40676</v>
      </c>
      <c r="E58" s="168" t="s">
        <v>114</v>
      </c>
      <c r="F58" s="168" t="s">
        <v>97</v>
      </c>
      <c r="G58" s="168">
        <v>0</v>
      </c>
      <c r="H58" s="168">
        <v>7</v>
      </c>
      <c r="I58" s="170" t="s">
        <v>85</v>
      </c>
      <c r="J58" s="158">
        <v>28</v>
      </c>
      <c r="K58" s="168">
        <v>13</v>
      </c>
      <c r="L58" s="168">
        <v>0</v>
      </c>
      <c r="M58" s="168">
        <v>0</v>
      </c>
      <c r="N58" s="168">
        <v>0</v>
      </c>
      <c r="O58" s="168">
        <v>0</v>
      </c>
      <c r="P58" s="119">
        <v>6</v>
      </c>
      <c r="Q58" s="119">
        <v>7</v>
      </c>
      <c r="R58" s="120">
        <f t="shared" si="31"/>
        <v>13</v>
      </c>
      <c r="S58" s="171">
        <f t="shared" si="26"/>
        <v>0.4642857142857143</v>
      </c>
      <c r="T58" s="168">
        <v>15</v>
      </c>
      <c r="U58" s="168">
        <v>0</v>
      </c>
      <c r="V58" s="168">
        <v>0</v>
      </c>
      <c r="W58" s="168">
        <v>0</v>
      </c>
      <c r="X58" s="168">
        <v>0</v>
      </c>
      <c r="Y58" s="119">
        <v>9</v>
      </c>
      <c r="Z58" s="119">
        <v>6</v>
      </c>
      <c r="AA58" s="123">
        <f t="shared" si="32"/>
        <v>15</v>
      </c>
      <c r="AB58" s="172">
        <f>+AA58/J58</f>
        <v>0.5357142857142857</v>
      </c>
      <c r="AC58" s="168">
        <v>0</v>
      </c>
      <c r="AD58" s="168">
        <v>0</v>
      </c>
      <c r="AE58" s="168">
        <v>0</v>
      </c>
      <c r="AF58" s="168">
        <v>0</v>
      </c>
      <c r="AG58" s="168">
        <v>0</v>
      </c>
      <c r="AH58" s="157">
        <v>0</v>
      </c>
      <c r="AI58" s="157">
        <v>0</v>
      </c>
      <c r="AJ58" s="123">
        <f>SUM(AC58:AG58)</f>
        <v>0</v>
      </c>
      <c r="AK58" s="172">
        <f t="shared" si="34"/>
        <v>0</v>
      </c>
    </row>
    <row r="59" spans="1:37" s="165" customFormat="1" ht="45" hidden="1" outlineLevel="1">
      <c r="A59" s="165">
        <v>17</v>
      </c>
      <c r="B59" s="181" t="s">
        <v>138</v>
      </c>
      <c r="C59" s="167">
        <v>40683</v>
      </c>
      <c r="D59" s="167">
        <v>40683</v>
      </c>
      <c r="E59" s="168" t="s">
        <v>114</v>
      </c>
      <c r="F59" s="168" t="s">
        <v>97</v>
      </c>
      <c r="G59" s="168">
        <v>0</v>
      </c>
      <c r="H59" s="168">
        <v>7</v>
      </c>
      <c r="I59" s="170" t="s">
        <v>85</v>
      </c>
      <c r="J59" s="158">
        <v>22</v>
      </c>
      <c r="K59" s="168">
        <v>14</v>
      </c>
      <c r="L59" s="168">
        <v>0</v>
      </c>
      <c r="M59" s="168">
        <v>0</v>
      </c>
      <c r="N59" s="168">
        <v>0</v>
      </c>
      <c r="O59" s="168">
        <v>0</v>
      </c>
      <c r="P59" s="119">
        <v>7</v>
      </c>
      <c r="Q59" s="119">
        <v>7</v>
      </c>
      <c r="R59" s="120">
        <f t="shared" si="31"/>
        <v>14</v>
      </c>
      <c r="S59" s="171">
        <f t="shared" si="26"/>
        <v>0.6363636363636364</v>
      </c>
      <c r="T59" s="168">
        <v>8</v>
      </c>
      <c r="U59" s="168">
        <v>0</v>
      </c>
      <c r="V59" s="168">
        <v>0</v>
      </c>
      <c r="W59" s="168">
        <v>0</v>
      </c>
      <c r="X59" s="168">
        <v>0</v>
      </c>
      <c r="Y59" s="119">
        <v>5</v>
      </c>
      <c r="Z59" s="119">
        <v>3</v>
      </c>
      <c r="AA59" s="123">
        <f t="shared" si="32"/>
        <v>8</v>
      </c>
      <c r="AB59" s="172">
        <f>+AA59/J59</f>
        <v>0.36363636363636365</v>
      </c>
      <c r="AC59" s="168">
        <v>0</v>
      </c>
      <c r="AD59" s="168">
        <v>0</v>
      </c>
      <c r="AE59" s="168">
        <v>0</v>
      </c>
      <c r="AF59" s="168">
        <v>0</v>
      </c>
      <c r="AG59" s="168">
        <v>0</v>
      </c>
      <c r="AH59" s="157">
        <v>0</v>
      </c>
      <c r="AI59" s="157">
        <v>0</v>
      </c>
      <c r="AJ59" s="123">
        <f>SUM(AC59:AG59)</f>
        <v>0</v>
      </c>
      <c r="AK59" s="172">
        <f t="shared" si="34"/>
        <v>0</v>
      </c>
    </row>
    <row r="60" spans="1:37" s="165" customFormat="1" ht="45" hidden="1" outlineLevel="1">
      <c r="A60" s="165">
        <v>18</v>
      </c>
      <c r="B60" s="181" t="s">
        <v>139</v>
      </c>
      <c r="C60" s="167">
        <v>40662</v>
      </c>
      <c r="D60" s="167">
        <v>40662</v>
      </c>
      <c r="E60" s="168" t="s">
        <v>114</v>
      </c>
      <c r="F60" s="168" t="s">
        <v>97</v>
      </c>
      <c r="G60" s="168">
        <v>0</v>
      </c>
      <c r="H60" s="168">
        <v>7</v>
      </c>
      <c r="I60" s="170" t="s">
        <v>85</v>
      </c>
      <c r="J60" s="158">
        <v>33</v>
      </c>
      <c r="K60" s="168">
        <v>20</v>
      </c>
      <c r="L60" s="168">
        <v>0</v>
      </c>
      <c r="M60" s="168">
        <v>0</v>
      </c>
      <c r="N60" s="168">
        <v>0</v>
      </c>
      <c r="O60" s="168">
        <v>0</v>
      </c>
      <c r="P60" s="119">
        <v>5</v>
      </c>
      <c r="Q60" s="119">
        <v>15</v>
      </c>
      <c r="R60" s="120">
        <f t="shared" si="31"/>
        <v>20</v>
      </c>
      <c r="S60" s="171">
        <f t="shared" si="26"/>
        <v>0.6060606060606061</v>
      </c>
      <c r="T60" s="168">
        <v>13</v>
      </c>
      <c r="U60" s="168">
        <v>0</v>
      </c>
      <c r="V60" s="168">
        <v>0</v>
      </c>
      <c r="W60" s="168">
        <v>0</v>
      </c>
      <c r="X60" s="168">
        <v>0</v>
      </c>
      <c r="Y60" s="119">
        <v>6</v>
      </c>
      <c r="Z60" s="119">
        <v>7</v>
      </c>
      <c r="AA60" s="123">
        <f t="shared" si="32"/>
        <v>13</v>
      </c>
      <c r="AB60" s="172">
        <f>+AA60/J60</f>
        <v>0.3939393939393939</v>
      </c>
      <c r="AC60" s="168">
        <v>0</v>
      </c>
      <c r="AD60" s="168">
        <v>0</v>
      </c>
      <c r="AE60" s="168">
        <v>0</v>
      </c>
      <c r="AF60" s="168">
        <v>0</v>
      </c>
      <c r="AG60" s="168">
        <v>0</v>
      </c>
      <c r="AH60" s="157">
        <v>0</v>
      </c>
      <c r="AI60" s="157">
        <v>0</v>
      </c>
      <c r="AJ60" s="123">
        <f>SUM(AC60:AG60)</f>
        <v>0</v>
      </c>
      <c r="AK60" s="172">
        <f t="shared" si="34"/>
        <v>0</v>
      </c>
    </row>
    <row r="61" spans="1:37" s="165" customFormat="1" ht="45" hidden="1" outlineLevel="1">
      <c r="A61" s="165">
        <v>19</v>
      </c>
      <c r="B61" s="182" t="s">
        <v>140</v>
      </c>
      <c r="C61" s="167">
        <v>40658</v>
      </c>
      <c r="D61" s="167">
        <v>40660</v>
      </c>
      <c r="E61" s="168" t="s">
        <v>114</v>
      </c>
      <c r="F61" s="168" t="s">
        <v>97</v>
      </c>
      <c r="G61" s="168">
        <v>0</v>
      </c>
      <c r="H61" s="168">
        <v>21</v>
      </c>
      <c r="I61" s="170" t="s">
        <v>85</v>
      </c>
      <c r="J61" s="158">
        <v>53</v>
      </c>
      <c r="K61" s="168">
        <v>6</v>
      </c>
      <c r="L61" s="168">
        <v>0</v>
      </c>
      <c r="M61" s="168">
        <v>1</v>
      </c>
      <c r="N61" s="168">
        <v>5</v>
      </c>
      <c r="O61" s="168">
        <v>32</v>
      </c>
      <c r="P61" s="119">
        <v>30</v>
      </c>
      <c r="Q61" s="119">
        <v>14</v>
      </c>
      <c r="R61" s="120">
        <f t="shared" si="31"/>
        <v>44</v>
      </c>
      <c r="S61" s="171">
        <f t="shared" si="26"/>
        <v>0.8301886792452831</v>
      </c>
      <c r="T61" s="168">
        <v>3</v>
      </c>
      <c r="U61" s="168">
        <v>0</v>
      </c>
      <c r="V61" s="168">
        <v>1</v>
      </c>
      <c r="W61" s="168">
        <v>0</v>
      </c>
      <c r="X61" s="168">
        <v>5</v>
      </c>
      <c r="Y61" s="119">
        <v>6</v>
      </c>
      <c r="Z61" s="119">
        <v>3</v>
      </c>
      <c r="AA61" s="123">
        <f t="shared" si="32"/>
        <v>9</v>
      </c>
      <c r="AB61" s="172">
        <v>0</v>
      </c>
      <c r="AC61" s="168"/>
      <c r="AD61" s="168"/>
      <c r="AE61" s="168"/>
      <c r="AF61" s="168"/>
      <c r="AG61" s="168"/>
      <c r="AH61" s="168"/>
      <c r="AI61" s="168"/>
      <c r="AJ61" s="123">
        <v>0</v>
      </c>
      <c r="AK61" s="172">
        <f t="shared" si="34"/>
        <v>0</v>
      </c>
    </row>
    <row r="62" spans="1:37" s="125" customFormat="1" ht="19.5">
      <c r="A62" s="156"/>
      <c r="B62" s="117" t="s">
        <v>141</v>
      </c>
      <c r="C62" s="118"/>
      <c r="D62" s="118"/>
      <c r="E62" s="119"/>
      <c r="F62" s="119"/>
      <c r="G62" s="119">
        <f>+G63+G84</f>
        <v>813</v>
      </c>
      <c r="H62" s="119">
        <f>+H63+H84</f>
        <v>940</v>
      </c>
      <c r="I62" s="157"/>
      <c r="J62" s="158">
        <f aca="true" t="shared" si="35" ref="J62:R62">+J63+J84</f>
        <v>3567</v>
      </c>
      <c r="K62" s="119">
        <f t="shared" si="35"/>
        <v>463</v>
      </c>
      <c r="L62" s="119">
        <f t="shared" si="35"/>
        <v>144</v>
      </c>
      <c r="M62" s="119">
        <f t="shared" si="35"/>
        <v>121</v>
      </c>
      <c r="N62" s="119">
        <f t="shared" si="35"/>
        <v>119</v>
      </c>
      <c r="O62" s="119">
        <f t="shared" si="35"/>
        <v>1915</v>
      </c>
      <c r="P62" s="119">
        <f t="shared" si="35"/>
        <v>1711</v>
      </c>
      <c r="Q62" s="119">
        <f t="shared" si="35"/>
        <v>1051</v>
      </c>
      <c r="R62" s="120">
        <f t="shared" si="35"/>
        <v>2762</v>
      </c>
      <c r="S62" s="159">
        <f t="shared" si="26"/>
        <v>0.7743201569946734</v>
      </c>
      <c r="T62" s="119">
        <f aca="true" t="shared" si="36" ref="T62:Z62">+T63+T84</f>
        <v>220</v>
      </c>
      <c r="U62" s="119">
        <f t="shared" si="36"/>
        <v>25</v>
      </c>
      <c r="V62" s="119">
        <f t="shared" si="36"/>
        <v>38</v>
      </c>
      <c r="W62" s="119">
        <f t="shared" si="36"/>
        <v>37</v>
      </c>
      <c r="X62" s="119">
        <f t="shared" si="36"/>
        <v>387</v>
      </c>
      <c r="Y62" s="119">
        <f t="shared" si="36"/>
        <v>423</v>
      </c>
      <c r="Z62" s="119">
        <f t="shared" si="36"/>
        <v>276</v>
      </c>
      <c r="AA62" s="183">
        <f t="shared" si="32"/>
        <v>707</v>
      </c>
      <c r="AB62" s="160">
        <v>0</v>
      </c>
      <c r="AC62" s="119">
        <f aca="true" t="shared" si="37" ref="AC62:AI62">+AC63+AC84</f>
        <v>23</v>
      </c>
      <c r="AD62" s="119">
        <f t="shared" si="37"/>
        <v>22</v>
      </c>
      <c r="AE62" s="119">
        <f t="shared" si="37"/>
        <v>1</v>
      </c>
      <c r="AF62" s="119">
        <f t="shared" si="37"/>
        <v>9</v>
      </c>
      <c r="AG62" s="119">
        <f t="shared" si="37"/>
        <v>43</v>
      </c>
      <c r="AH62" s="119">
        <f t="shared" si="37"/>
        <v>56</v>
      </c>
      <c r="AI62" s="119">
        <f t="shared" si="37"/>
        <v>42</v>
      </c>
      <c r="AJ62" s="183">
        <f>SUM(AC62:AG62)</f>
        <v>98</v>
      </c>
      <c r="AK62" s="160">
        <f t="shared" si="34"/>
        <v>0.027474067844126718</v>
      </c>
    </row>
    <row r="63" spans="2:37" s="161" customFormat="1" ht="18.75">
      <c r="B63" s="127" t="s">
        <v>74</v>
      </c>
      <c r="C63" s="162"/>
      <c r="D63" s="162"/>
      <c r="E63" s="163"/>
      <c r="F63" s="163"/>
      <c r="G63" s="163">
        <f>SUM(G64:G71)</f>
        <v>386</v>
      </c>
      <c r="H63" s="163">
        <f>SUM(H64:H71)</f>
        <v>940</v>
      </c>
      <c r="I63" s="164"/>
      <c r="J63" s="129">
        <f aca="true" t="shared" si="38" ref="J63:R63">SUM(J64:J83)</f>
        <v>879</v>
      </c>
      <c r="K63" s="129">
        <f t="shared" si="38"/>
        <v>128</v>
      </c>
      <c r="L63" s="129">
        <f t="shared" si="38"/>
        <v>47</v>
      </c>
      <c r="M63" s="129">
        <f t="shared" si="38"/>
        <v>17</v>
      </c>
      <c r="N63" s="129">
        <f t="shared" si="38"/>
        <v>6</v>
      </c>
      <c r="O63" s="129">
        <f t="shared" si="38"/>
        <v>440</v>
      </c>
      <c r="P63" s="129">
        <f t="shared" si="38"/>
        <v>451</v>
      </c>
      <c r="Q63" s="129">
        <f t="shared" si="38"/>
        <v>187</v>
      </c>
      <c r="R63" s="129">
        <f t="shared" si="38"/>
        <v>638</v>
      </c>
      <c r="S63" s="130">
        <f t="shared" si="26"/>
        <v>0.7258248009101251</v>
      </c>
      <c r="T63" s="129">
        <f aca="true" t="shared" si="39" ref="T63:AA63">SUM(T64:T83)</f>
        <v>51</v>
      </c>
      <c r="U63" s="129">
        <f t="shared" si="39"/>
        <v>10</v>
      </c>
      <c r="V63" s="129">
        <f t="shared" si="39"/>
        <v>4</v>
      </c>
      <c r="W63" s="129">
        <f t="shared" si="39"/>
        <v>2</v>
      </c>
      <c r="X63" s="129">
        <f t="shared" si="39"/>
        <v>76</v>
      </c>
      <c r="Y63" s="129">
        <f t="shared" si="39"/>
        <v>100</v>
      </c>
      <c r="Z63" s="129">
        <f t="shared" si="39"/>
        <v>43</v>
      </c>
      <c r="AA63" s="129">
        <f t="shared" si="39"/>
        <v>143</v>
      </c>
      <c r="AB63" s="130">
        <f aca="true" t="shared" si="40" ref="AB63:AB94">+AA63/J63</f>
        <v>0.1626848691695108</v>
      </c>
      <c r="AC63" s="129">
        <f aca="true" t="shared" si="41" ref="AC63:AI63">SUM(AC64:AC71)</f>
        <v>23</v>
      </c>
      <c r="AD63" s="129">
        <f t="shared" si="41"/>
        <v>22</v>
      </c>
      <c r="AE63" s="129">
        <f t="shared" si="41"/>
        <v>1</v>
      </c>
      <c r="AF63" s="129">
        <f t="shared" si="41"/>
        <v>9</v>
      </c>
      <c r="AG63" s="129">
        <f t="shared" si="41"/>
        <v>43</v>
      </c>
      <c r="AH63" s="129">
        <f t="shared" si="41"/>
        <v>56</v>
      </c>
      <c r="AI63" s="129">
        <f t="shared" si="41"/>
        <v>42</v>
      </c>
      <c r="AJ63" s="129">
        <f>SUM(AJ64:AJ83)</f>
        <v>98</v>
      </c>
      <c r="AK63" s="130">
        <f t="shared" si="34"/>
        <v>0.11149032992036405</v>
      </c>
    </row>
    <row r="64" spans="1:37" s="175" customFormat="1" ht="45" hidden="1" outlineLevel="1">
      <c r="A64" s="165"/>
      <c r="B64" s="184" t="s">
        <v>142</v>
      </c>
      <c r="C64" s="185"/>
      <c r="D64" s="186"/>
      <c r="E64" s="168" t="s">
        <v>143</v>
      </c>
      <c r="F64" s="168" t="s">
        <v>77</v>
      </c>
      <c r="G64" s="168">
        <v>63</v>
      </c>
      <c r="H64" s="168">
        <v>120</v>
      </c>
      <c r="I64" s="170" t="s">
        <v>85</v>
      </c>
      <c r="J64" s="158">
        <v>56</v>
      </c>
      <c r="K64" s="168">
        <v>1</v>
      </c>
      <c r="L64" s="168">
        <v>1</v>
      </c>
      <c r="M64" s="168">
        <v>3</v>
      </c>
      <c r="N64" s="168">
        <v>5</v>
      </c>
      <c r="O64" s="168">
        <v>13</v>
      </c>
      <c r="P64" s="119">
        <v>19</v>
      </c>
      <c r="Q64" s="119">
        <v>4</v>
      </c>
      <c r="R64" s="120">
        <f aca="true" t="shared" si="42" ref="R64:R83">+O64+N64+M64+L64+K64</f>
        <v>23</v>
      </c>
      <c r="S64" s="171">
        <f t="shared" si="26"/>
        <v>0.4107142857142857</v>
      </c>
      <c r="T64" s="168">
        <v>1</v>
      </c>
      <c r="U64" s="168">
        <v>0</v>
      </c>
      <c r="V64" s="168">
        <v>0</v>
      </c>
      <c r="W64" s="168">
        <v>0</v>
      </c>
      <c r="X64" s="168">
        <v>2</v>
      </c>
      <c r="Y64" s="119">
        <v>2</v>
      </c>
      <c r="Z64" s="119">
        <v>1</v>
      </c>
      <c r="AA64" s="183">
        <f aca="true" t="shared" si="43" ref="AA64:AA83">SUM(T64:X64)</f>
        <v>3</v>
      </c>
      <c r="AB64" s="172">
        <f t="shared" si="40"/>
        <v>0.05357142857142857</v>
      </c>
      <c r="AC64" s="168">
        <v>4</v>
      </c>
      <c r="AD64" s="168">
        <v>2</v>
      </c>
      <c r="AE64" s="168">
        <v>0</v>
      </c>
      <c r="AF64" s="168">
        <v>7</v>
      </c>
      <c r="AG64" s="168">
        <v>17</v>
      </c>
      <c r="AH64" s="174">
        <v>17</v>
      </c>
      <c r="AI64" s="174">
        <v>13</v>
      </c>
      <c r="AJ64" s="183">
        <f aca="true" t="shared" si="44" ref="AJ64:AJ83">SUM(AC64:AG64)</f>
        <v>30</v>
      </c>
      <c r="AK64" s="172">
        <f t="shared" si="34"/>
        <v>0.5357142857142857</v>
      </c>
    </row>
    <row r="65" spans="1:37" s="175" customFormat="1" ht="45" hidden="1" outlineLevel="1">
      <c r="A65" s="165"/>
      <c r="B65" s="184" t="s">
        <v>86</v>
      </c>
      <c r="C65" s="185"/>
      <c r="D65" s="186"/>
      <c r="E65" s="168" t="s">
        <v>143</v>
      </c>
      <c r="F65" s="168" t="s">
        <v>77</v>
      </c>
      <c r="G65" s="168">
        <v>63</v>
      </c>
      <c r="H65" s="168">
        <v>120</v>
      </c>
      <c r="I65" s="170" t="s">
        <v>85</v>
      </c>
      <c r="J65" s="158">
        <v>40</v>
      </c>
      <c r="K65" s="168">
        <v>11</v>
      </c>
      <c r="L65" s="168">
        <v>9</v>
      </c>
      <c r="M65" s="168">
        <v>1</v>
      </c>
      <c r="N65" s="168">
        <v>0</v>
      </c>
      <c r="O65" s="168">
        <v>0</v>
      </c>
      <c r="P65" s="119">
        <v>15</v>
      </c>
      <c r="Q65" s="119">
        <v>6</v>
      </c>
      <c r="R65" s="120">
        <f t="shared" si="42"/>
        <v>21</v>
      </c>
      <c r="S65" s="171">
        <f t="shared" si="26"/>
        <v>0.525</v>
      </c>
      <c r="T65" s="168">
        <v>6</v>
      </c>
      <c r="U65" s="168">
        <v>0</v>
      </c>
      <c r="V65" s="168">
        <v>0</v>
      </c>
      <c r="W65" s="168">
        <v>0</v>
      </c>
      <c r="X65" s="168">
        <v>0</v>
      </c>
      <c r="Y65" s="119">
        <v>5</v>
      </c>
      <c r="Z65" s="119">
        <v>1</v>
      </c>
      <c r="AA65" s="183">
        <f t="shared" si="43"/>
        <v>6</v>
      </c>
      <c r="AB65" s="172">
        <f t="shared" si="40"/>
        <v>0.15</v>
      </c>
      <c r="AC65" s="168">
        <v>6</v>
      </c>
      <c r="AD65" s="168">
        <v>7</v>
      </c>
      <c r="AE65" s="168">
        <v>0</v>
      </c>
      <c r="AF65" s="168">
        <v>0</v>
      </c>
      <c r="AG65" s="168">
        <v>0</v>
      </c>
      <c r="AH65" s="174">
        <v>10</v>
      </c>
      <c r="AI65" s="174">
        <v>3</v>
      </c>
      <c r="AJ65" s="183">
        <f t="shared" si="44"/>
        <v>13</v>
      </c>
      <c r="AK65" s="172">
        <f t="shared" si="34"/>
        <v>0.325</v>
      </c>
    </row>
    <row r="66" spans="1:37" s="175" customFormat="1" ht="45" hidden="1" outlineLevel="1">
      <c r="A66" s="165"/>
      <c r="B66" s="184" t="s">
        <v>144</v>
      </c>
      <c r="C66" s="185"/>
      <c r="D66" s="186"/>
      <c r="E66" s="168" t="s">
        <v>143</v>
      </c>
      <c r="F66" s="168" t="s">
        <v>77</v>
      </c>
      <c r="G66" s="168">
        <v>63</v>
      </c>
      <c r="H66" s="168">
        <v>120</v>
      </c>
      <c r="I66" s="170" t="s">
        <v>85</v>
      </c>
      <c r="J66" s="158">
        <v>57</v>
      </c>
      <c r="K66" s="168">
        <v>32</v>
      </c>
      <c r="L66" s="168">
        <v>8</v>
      </c>
      <c r="M66" s="168">
        <v>0</v>
      </c>
      <c r="N66" s="168">
        <v>0</v>
      </c>
      <c r="O66" s="168">
        <v>0</v>
      </c>
      <c r="P66" s="119">
        <v>18</v>
      </c>
      <c r="Q66" s="119">
        <v>22</v>
      </c>
      <c r="R66" s="120">
        <f t="shared" si="42"/>
        <v>40</v>
      </c>
      <c r="S66" s="171">
        <f t="shared" si="26"/>
        <v>0.7017543859649122</v>
      </c>
      <c r="T66" s="168">
        <v>2</v>
      </c>
      <c r="U66" s="168">
        <v>0</v>
      </c>
      <c r="V66" s="168">
        <v>1</v>
      </c>
      <c r="W66" s="168">
        <v>0</v>
      </c>
      <c r="X66" s="168">
        <v>0</v>
      </c>
      <c r="Y66" s="119">
        <v>1</v>
      </c>
      <c r="Z66" s="119">
        <v>2</v>
      </c>
      <c r="AA66" s="183">
        <f t="shared" si="43"/>
        <v>3</v>
      </c>
      <c r="AB66" s="172">
        <f t="shared" si="40"/>
        <v>0.05263157894736842</v>
      </c>
      <c r="AC66" s="168">
        <v>10</v>
      </c>
      <c r="AD66" s="168">
        <v>3</v>
      </c>
      <c r="AE66" s="168">
        <v>1</v>
      </c>
      <c r="AF66" s="168">
        <v>0</v>
      </c>
      <c r="AG66" s="168">
        <v>0</v>
      </c>
      <c r="AH66" s="174">
        <v>7</v>
      </c>
      <c r="AI66" s="174">
        <v>7</v>
      </c>
      <c r="AJ66" s="183">
        <f t="shared" si="44"/>
        <v>14</v>
      </c>
      <c r="AK66" s="172">
        <f t="shared" si="34"/>
        <v>0.24561403508771928</v>
      </c>
    </row>
    <row r="67" spans="1:37" s="175" customFormat="1" ht="45" hidden="1" outlineLevel="1">
      <c r="A67" s="165"/>
      <c r="B67" s="184" t="s">
        <v>145</v>
      </c>
      <c r="C67" s="185"/>
      <c r="D67" s="186"/>
      <c r="E67" s="168" t="s">
        <v>143</v>
      </c>
      <c r="F67" s="168" t="s">
        <v>77</v>
      </c>
      <c r="G67" s="168">
        <v>63</v>
      </c>
      <c r="H67" s="168">
        <v>120</v>
      </c>
      <c r="I67" s="170" t="s">
        <v>78</v>
      </c>
      <c r="J67" s="158">
        <v>55</v>
      </c>
      <c r="K67" s="168">
        <v>5</v>
      </c>
      <c r="L67" s="168">
        <v>11</v>
      </c>
      <c r="M67" s="168">
        <v>1</v>
      </c>
      <c r="N67" s="168">
        <v>0</v>
      </c>
      <c r="O67" s="168">
        <v>2</v>
      </c>
      <c r="P67" s="119">
        <v>12</v>
      </c>
      <c r="Q67" s="119">
        <v>7</v>
      </c>
      <c r="R67" s="120">
        <f t="shared" si="42"/>
        <v>19</v>
      </c>
      <c r="S67" s="171">
        <f t="shared" si="26"/>
        <v>0.34545454545454546</v>
      </c>
      <c r="T67" s="168">
        <v>14</v>
      </c>
      <c r="U67" s="168">
        <v>5</v>
      </c>
      <c r="V67" s="168">
        <v>2</v>
      </c>
      <c r="W67" s="168">
        <v>0</v>
      </c>
      <c r="X67" s="168">
        <v>2</v>
      </c>
      <c r="Y67" s="119">
        <v>13</v>
      </c>
      <c r="Z67" s="119">
        <v>10</v>
      </c>
      <c r="AA67" s="183">
        <f t="shared" si="43"/>
        <v>23</v>
      </c>
      <c r="AB67" s="172">
        <f t="shared" si="40"/>
        <v>0.41818181818181815</v>
      </c>
      <c r="AC67" s="168">
        <v>2</v>
      </c>
      <c r="AD67" s="168">
        <v>8</v>
      </c>
      <c r="AE67" s="168">
        <v>0</v>
      </c>
      <c r="AF67" s="168">
        <v>0</v>
      </c>
      <c r="AG67" s="168">
        <v>3</v>
      </c>
      <c r="AH67" s="174">
        <v>6</v>
      </c>
      <c r="AI67" s="174">
        <v>7</v>
      </c>
      <c r="AJ67" s="183">
        <f t="shared" si="44"/>
        <v>13</v>
      </c>
      <c r="AK67" s="172">
        <f t="shared" si="34"/>
        <v>0.23636363636363636</v>
      </c>
    </row>
    <row r="68" spans="1:37" s="175" customFormat="1" ht="45" hidden="1" outlineLevel="1">
      <c r="A68" s="165"/>
      <c r="B68" s="184" t="s">
        <v>146</v>
      </c>
      <c r="C68" s="185"/>
      <c r="D68" s="186"/>
      <c r="E68" s="168" t="s">
        <v>143</v>
      </c>
      <c r="F68" s="168" t="s">
        <v>77</v>
      </c>
      <c r="G68" s="168">
        <v>54</v>
      </c>
      <c r="H68" s="168">
        <v>120</v>
      </c>
      <c r="I68" s="170" t="s">
        <v>78</v>
      </c>
      <c r="J68" s="158">
        <v>33</v>
      </c>
      <c r="K68" s="168">
        <v>10</v>
      </c>
      <c r="L68" s="168">
        <v>0</v>
      </c>
      <c r="M68" s="168">
        <v>2</v>
      </c>
      <c r="N68" s="168">
        <v>0</v>
      </c>
      <c r="O68" s="168">
        <v>6</v>
      </c>
      <c r="P68" s="119">
        <v>14</v>
      </c>
      <c r="Q68" s="119">
        <v>4</v>
      </c>
      <c r="R68" s="120">
        <f t="shared" si="42"/>
        <v>18</v>
      </c>
      <c r="S68" s="171">
        <f t="shared" si="26"/>
        <v>0.5454545454545454</v>
      </c>
      <c r="T68" s="168">
        <v>7</v>
      </c>
      <c r="U68" s="168">
        <v>1</v>
      </c>
      <c r="V68" s="168">
        <v>0</v>
      </c>
      <c r="W68" s="168">
        <v>0</v>
      </c>
      <c r="X68" s="168">
        <v>5</v>
      </c>
      <c r="Y68" s="119">
        <v>8</v>
      </c>
      <c r="Z68" s="119">
        <v>5</v>
      </c>
      <c r="AA68" s="183">
        <f t="shared" si="43"/>
        <v>13</v>
      </c>
      <c r="AB68" s="172">
        <f t="shared" si="40"/>
        <v>0.3939393939393939</v>
      </c>
      <c r="AC68" s="168">
        <v>0</v>
      </c>
      <c r="AD68" s="168">
        <v>2</v>
      </c>
      <c r="AE68" s="168">
        <v>0</v>
      </c>
      <c r="AF68" s="168">
        <v>0</v>
      </c>
      <c r="AG68" s="168">
        <v>0</v>
      </c>
      <c r="AH68" s="174">
        <v>0</v>
      </c>
      <c r="AI68" s="174">
        <v>2</v>
      </c>
      <c r="AJ68" s="183">
        <f t="shared" si="44"/>
        <v>2</v>
      </c>
      <c r="AK68" s="172">
        <f t="shared" si="34"/>
        <v>0.06060606060606061</v>
      </c>
    </row>
    <row r="69" spans="1:37" s="175" customFormat="1" ht="45" hidden="1" outlineLevel="1">
      <c r="A69" s="165"/>
      <c r="B69" s="184" t="s">
        <v>147</v>
      </c>
      <c r="C69" s="185"/>
      <c r="D69" s="186"/>
      <c r="E69" s="168" t="s">
        <v>143</v>
      </c>
      <c r="F69" s="168" t="s">
        <v>77</v>
      </c>
      <c r="G69" s="168">
        <v>28</v>
      </c>
      <c r="H69" s="168">
        <v>120</v>
      </c>
      <c r="I69" s="170" t="s">
        <v>83</v>
      </c>
      <c r="J69" s="158">
        <v>25</v>
      </c>
      <c r="K69" s="168">
        <v>6</v>
      </c>
      <c r="L69" s="168">
        <v>0</v>
      </c>
      <c r="M69" s="168">
        <v>0</v>
      </c>
      <c r="N69" s="168">
        <v>0</v>
      </c>
      <c r="O69" s="168">
        <v>6</v>
      </c>
      <c r="P69" s="119">
        <v>8</v>
      </c>
      <c r="Q69" s="119">
        <v>4</v>
      </c>
      <c r="R69" s="120">
        <f t="shared" si="42"/>
        <v>12</v>
      </c>
      <c r="S69" s="171">
        <f t="shared" si="26"/>
        <v>0.48</v>
      </c>
      <c r="T69" s="168">
        <v>4</v>
      </c>
      <c r="U69" s="168">
        <v>0</v>
      </c>
      <c r="V69" s="168">
        <v>0</v>
      </c>
      <c r="W69" s="168">
        <v>0</v>
      </c>
      <c r="X69" s="168">
        <v>6</v>
      </c>
      <c r="Y69" s="119">
        <v>9</v>
      </c>
      <c r="Z69" s="119">
        <v>1</v>
      </c>
      <c r="AA69" s="183">
        <f t="shared" si="43"/>
        <v>10</v>
      </c>
      <c r="AB69" s="172">
        <f t="shared" si="40"/>
        <v>0.4</v>
      </c>
      <c r="AC69" s="168">
        <v>0</v>
      </c>
      <c r="AD69" s="168">
        <v>0</v>
      </c>
      <c r="AE69" s="168">
        <v>0</v>
      </c>
      <c r="AF69" s="168">
        <v>0</v>
      </c>
      <c r="AG69" s="168">
        <v>3</v>
      </c>
      <c r="AH69" s="174">
        <v>3</v>
      </c>
      <c r="AI69" s="174">
        <v>0</v>
      </c>
      <c r="AJ69" s="183">
        <f t="shared" si="44"/>
        <v>3</v>
      </c>
      <c r="AK69" s="172">
        <f t="shared" si="34"/>
        <v>0.12</v>
      </c>
    </row>
    <row r="70" spans="1:37" s="175" customFormat="1" ht="45" hidden="1" outlineLevel="1">
      <c r="A70" s="165"/>
      <c r="B70" s="184" t="s">
        <v>148</v>
      </c>
      <c r="C70" s="185"/>
      <c r="D70" s="186"/>
      <c r="E70" s="168" t="s">
        <v>143</v>
      </c>
      <c r="F70" s="168" t="s">
        <v>77</v>
      </c>
      <c r="G70" s="168">
        <v>28</v>
      </c>
      <c r="H70" s="168">
        <v>120</v>
      </c>
      <c r="I70" s="170" t="s">
        <v>83</v>
      </c>
      <c r="J70" s="158">
        <v>35</v>
      </c>
      <c r="K70" s="168">
        <v>14</v>
      </c>
      <c r="L70" s="168">
        <v>1</v>
      </c>
      <c r="M70" s="168">
        <v>0</v>
      </c>
      <c r="N70" s="168">
        <v>1</v>
      </c>
      <c r="O70" s="168">
        <v>0</v>
      </c>
      <c r="P70" s="119">
        <v>11</v>
      </c>
      <c r="Q70" s="119">
        <v>5</v>
      </c>
      <c r="R70" s="120">
        <f t="shared" si="42"/>
        <v>16</v>
      </c>
      <c r="S70" s="171">
        <f aca="true" t="shared" si="45" ref="S70:S101">+R70/J70</f>
        <v>0.45714285714285713</v>
      </c>
      <c r="T70" s="168">
        <v>8</v>
      </c>
      <c r="U70" s="168">
        <v>0</v>
      </c>
      <c r="V70" s="168">
        <v>0</v>
      </c>
      <c r="W70" s="168">
        <v>2</v>
      </c>
      <c r="X70" s="168">
        <v>5</v>
      </c>
      <c r="Y70" s="119">
        <v>11</v>
      </c>
      <c r="Z70" s="119">
        <v>4</v>
      </c>
      <c r="AA70" s="183">
        <f t="shared" si="43"/>
        <v>15</v>
      </c>
      <c r="AB70" s="172">
        <f t="shared" si="40"/>
        <v>0.42857142857142855</v>
      </c>
      <c r="AC70" s="168">
        <v>1</v>
      </c>
      <c r="AD70" s="168">
        <v>0</v>
      </c>
      <c r="AE70" s="168">
        <v>0</v>
      </c>
      <c r="AF70" s="168">
        <v>2</v>
      </c>
      <c r="AG70" s="168">
        <v>1</v>
      </c>
      <c r="AH70" s="174">
        <v>2</v>
      </c>
      <c r="AI70" s="174">
        <v>2</v>
      </c>
      <c r="AJ70" s="183">
        <f t="shared" si="44"/>
        <v>4</v>
      </c>
      <c r="AK70" s="172">
        <f t="shared" si="34"/>
        <v>0.11428571428571428</v>
      </c>
    </row>
    <row r="71" spans="1:37" s="175" customFormat="1" ht="15" hidden="1" outlineLevel="1">
      <c r="A71" s="165"/>
      <c r="B71" s="184" t="s">
        <v>149</v>
      </c>
      <c r="C71" s="167"/>
      <c r="D71" s="167"/>
      <c r="E71" s="168" t="s">
        <v>150</v>
      </c>
      <c r="F71" s="168" t="s">
        <v>77</v>
      </c>
      <c r="G71" s="168">
        <v>24</v>
      </c>
      <c r="H71" s="168">
        <v>100</v>
      </c>
      <c r="I71" s="170" t="s">
        <v>89</v>
      </c>
      <c r="J71" s="158">
        <v>72</v>
      </c>
      <c r="K71" s="168">
        <v>0</v>
      </c>
      <c r="L71" s="168">
        <v>0</v>
      </c>
      <c r="M71" s="168">
        <v>0</v>
      </c>
      <c r="N71" s="168">
        <v>0</v>
      </c>
      <c r="O71" s="168">
        <v>45</v>
      </c>
      <c r="P71" s="119">
        <v>32</v>
      </c>
      <c r="Q71" s="119">
        <v>13</v>
      </c>
      <c r="R71" s="120">
        <f t="shared" si="42"/>
        <v>45</v>
      </c>
      <c r="S71" s="171">
        <f t="shared" si="45"/>
        <v>0.625</v>
      </c>
      <c r="T71" s="168">
        <v>0</v>
      </c>
      <c r="U71" s="168">
        <v>0</v>
      </c>
      <c r="V71" s="168">
        <v>0</v>
      </c>
      <c r="W71" s="168">
        <v>0</v>
      </c>
      <c r="X71" s="168">
        <v>8</v>
      </c>
      <c r="Y71" s="119">
        <v>7</v>
      </c>
      <c r="Z71" s="119">
        <v>1</v>
      </c>
      <c r="AA71" s="183">
        <f t="shared" si="43"/>
        <v>8</v>
      </c>
      <c r="AB71" s="172">
        <f t="shared" si="40"/>
        <v>0.1111111111111111</v>
      </c>
      <c r="AC71" s="168">
        <v>0</v>
      </c>
      <c r="AD71" s="168">
        <v>0</v>
      </c>
      <c r="AE71" s="168">
        <v>0</v>
      </c>
      <c r="AF71" s="168">
        <v>0</v>
      </c>
      <c r="AG71" s="168">
        <v>19</v>
      </c>
      <c r="AH71" s="174">
        <v>11</v>
      </c>
      <c r="AI71" s="174">
        <v>8</v>
      </c>
      <c r="AJ71" s="183">
        <f t="shared" si="44"/>
        <v>19</v>
      </c>
      <c r="AK71" s="172">
        <f t="shared" si="34"/>
        <v>0.2638888888888889</v>
      </c>
    </row>
    <row r="72" spans="1:37" s="175" customFormat="1" ht="30" hidden="1" outlineLevel="1">
      <c r="A72" s="165"/>
      <c r="B72" s="184" t="s">
        <v>151</v>
      </c>
      <c r="C72" s="167"/>
      <c r="D72" s="167"/>
      <c r="E72" s="168" t="s">
        <v>152</v>
      </c>
      <c r="F72" s="168" t="s">
        <v>93</v>
      </c>
      <c r="G72" s="168">
        <v>32</v>
      </c>
      <c r="H72" s="168">
        <v>0</v>
      </c>
      <c r="I72" s="170" t="s">
        <v>89</v>
      </c>
      <c r="J72" s="158">
        <v>85</v>
      </c>
      <c r="K72" s="168">
        <v>3</v>
      </c>
      <c r="L72" s="168">
        <v>4</v>
      </c>
      <c r="M72" s="168">
        <v>1</v>
      </c>
      <c r="N72" s="168">
        <v>0</v>
      </c>
      <c r="O72" s="168">
        <v>67</v>
      </c>
      <c r="P72" s="119">
        <v>62</v>
      </c>
      <c r="Q72" s="119">
        <v>13</v>
      </c>
      <c r="R72" s="120">
        <f t="shared" si="42"/>
        <v>75</v>
      </c>
      <c r="S72" s="171">
        <f t="shared" si="45"/>
        <v>0.8823529411764706</v>
      </c>
      <c r="T72" s="168">
        <v>1</v>
      </c>
      <c r="U72" s="168">
        <v>1</v>
      </c>
      <c r="V72" s="168">
        <v>1</v>
      </c>
      <c r="W72" s="168">
        <v>0</v>
      </c>
      <c r="X72" s="168">
        <v>7</v>
      </c>
      <c r="Y72" s="119">
        <v>5</v>
      </c>
      <c r="Z72" s="119">
        <v>5</v>
      </c>
      <c r="AA72" s="183">
        <f t="shared" si="43"/>
        <v>10</v>
      </c>
      <c r="AB72" s="172">
        <f t="shared" si="40"/>
        <v>0.11764705882352941</v>
      </c>
      <c r="AC72" s="168">
        <v>0</v>
      </c>
      <c r="AD72" s="168">
        <v>0</v>
      </c>
      <c r="AE72" s="168">
        <v>0</v>
      </c>
      <c r="AF72" s="168">
        <v>0</v>
      </c>
      <c r="AG72" s="168">
        <v>0</v>
      </c>
      <c r="AH72" s="174">
        <v>0</v>
      </c>
      <c r="AI72" s="174">
        <v>0</v>
      </c>
      <c r="AJ72" s="183">
        <f t="shared" si="44"/>
        <v>0</v>
      </c>
      <c r="AK72" s="172">
        <f t="shared" si="34"/>
        <v>0</v>
      </c>
    </row>
    <row r="73" spans="1:37" s="175" customFormat="1" ht="30" hidden="1" outlineLevel="1">
      <c r="A73" s="165"/>
      <c r="B73" s="184" t="s">
        <v>153</v>
      </c>
      <c r="C73" s="167"/>
      <c r="D73" s="167"/>
      <c r="E73" s="168" t="s">
        <v>152</v>
      </c>
      <c r="F73" s="168" t="s">
        <v>93</v>
      </c>
      <c r="G73" s="168">
        <v>32</v>
      </c>
      <c r="H73" s="168">
        <v>0</v>
      </c>
      <c r="I73" s="170" t="s">
        <v>89</v>
      </c>
      <c r="J73" s="158">
        <v>71</v>
      </c>
      <c r="K73" s="168">
        <v>2</v>
      </c>
      <c r="L73" s="168">
        <v>2</v>
      </c>
      <c r="M73" s="168">
        <v>1</v>
      </c>
      <c r="N73" s="168">
        <v>0</v>
      </c>
      <c r="O73" s="168">
        <v>53</v>
      </c>
      <c r="P73" s="119">
        <v>45</v>
      </c>
      <c r="Q73" s="119">
        <v>13</v>
      </c>
      <c r="R73" s="120">
        <f t="shared" si="42"/>
        <v>58</v>
      </c>
      <c r="S73" s="171">
        <f t="shared" si="45"/>
        <v>0.8169014084507042</v>
      </c>
      <c r="T73" s="168">
        <v>1</v>
      </c>
      <c r="U73" s="168">
        <v>2</v>
      </c>
      <c r="V73" s="168">
        <v>0</v>
      </c>
      <c r="W73" s="168">
        <v>0</v>
      </c>
      <c r="X73" s="168">
        <v>10</v>
      </c>
      <c r="Y73" s="119">
        <v>13</v>
      </c>
      <c r="Z73" s="119">
        <v>0</v>
      </c>
      <c r="AA73" s="183">
        <f t="shared" si="43"/>
        <v>13</v>
      </c>
      <c r="AB73" s="172">
        <f t="shared" si="40"/>
        <v>0.18309859154929578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74">
        <v>0</v>
      </c>
      <c r="AI73" s="174">
        <v>0</v>
      </c>
      <c r="AJ73" s="183">
        <f t="shared" si="44"/>
        <v>0</v>
      </c>
      <c r="AK73" s="172">
        <f t="shared" si="34"/>
        <v>0</v>
      </c>
    </row>
    <row r="74" spans="1:37" s="175" customFormat="1" ht="30" hidden="1" outlineLevel="1">
      <c r="A74" s="165"/>
      <c r="B74" s="184" t="s">
        <v>154</v>
      </c>
      <c r="C74" s="167"/>
      <c r="D74" s="167"/>
      <c r="E74" s="168" t="s">
        <v>152</v>
      </c>
      <c r="F74" s="168" t="s">
        <v>93</v>
      </c>
      <c r="G74" s="168">
        <v>32</v>
      </c>
      <c r="H74" s="168">
        <v>0</v>
      </c>
      <c r="I74" s="170" t="s">
        <v>89</v>
      </c>
      <c r="J74" s="158">
        <v>59</v>
      </c>
      <c r="K74" s="168">
        <v>2</v>
      </c>
      <c r="L74" s="168">
        <v>2</v>
      </c>
      <c r="M74" s="168">
        <v>1</v>
      </c>
      <c r="N74" s="168">
        <v>0</v>
      </c>
      <c r="O74" s="168">
        <v>49</v>
      </c>
      <c r="P74" s="119">
        <v>44</v>
      </c>
      <c r="Q74" s="119">
        <v>10</v>
      </c>
      <c r="R74" s="120">
        <f t="shared" si="42"/>
        <v>54</v>
      </c>
      <c r="S74" s="171">
        <f t="shared" si="45"/>
        <v>0.9152542372881356</v>
      </c>
      <c r="T74" s="168">
        <v>0</v>
      </c>
      <c r="U74" s="168">
        <v>0</v>
      </c>
      <c r="V74" s="168">
        <v>0</v>
      </c>
      <c r="W74" s="168">
        <v>0</v>
      </c>
      <c r="X74" s="168">
        <v>5</v>
      </c>
      <c r="Y74" s="119">
        <v>5</v>
      </c>
      <c r="Z74" s="119">
        <v>0</v>
      </c>
      <c r="AA74" s="183">
        <f t="shared" si="43"/>
        <v>5</v>
      </c>
      <c r="AB74" s="172">
        <f t="shared" si="40"/>
        <v>0.0847457627118644</v>
      </c>
      <c r="AC74" s="168">
        <v>0</v>
      </c>
      <c r="AD74" s="168">
        <v>0</v>
      </c>
      <c r="AE74" s="168">
        <v>0</v>
      </c>
      <c r="AF74" s="168">
        <v>0</v>
      </c>
      <c r="AG74" s="168">
        <v>0</v>
      </c>
      <c r="AH74" s="174">
        <v>0</v>
      </c>
      <c r="AI74" s="174">
        <v>0</v>
      </c>
      <c r="AJ74" s="183">
        <f t="shared" si="44"/>
        <v>0</v>
      </c>
      <c r="AK74" s="172">
        <f t="shared" si="34"/>
        <v>0</v>
      </c>
    </row>
    <row r="75" spans="1:37" s="175" customFormat="1" ht="30" hidden="1" outlineLevel="1">
      <c r="A75" s="165"/>
      <c r="B75" s="184" t="s">
        <v>155</v>
      </c>
      <c r="C75" s="167"/>
      <c r="D75" s="167"/>
      <c r="E75" s="168" t="s">
        <v>152</v>
      </c>
      <c r="F75" s="168" t="s">
        <v>93</v>
      </c>
      <c r="G75" s="168">
        <v>32</v>
      </c>
      <c r="H75" s="168">
        <v>0</v>
      </c>
      <c r="I75" s="170" t="s">
        <v>89</v>
      </c>
      <c r="J75" s="158">
        <v>55</v>
      </c>
      <c r="K75" s="168">
        <v>1</v>
      </c>
      <c r="L75" s="168">
        <v>2</v>
      </c>
      <c r="M75" s="168">
        <v>1</v>
      </c>
      <c r="N75" s="168">
        <v>0</v>
      </c>
      <c r="O75" s="168">
        <v>46</v>
      </c>
      <c r="P75" s="119">
        <v>40</v>
      </c>
      <c r="Q75" s="119">
        <v>10</v>
      </c>
      <c r="R75" s="120">
        <f t="shared" si="42"/>
        <v>50</v>
      </c>
      <c r="S75" s="171">
        <f t="shared" si="45"/>
        <v>0.9090909090909091</v>
      </c>
      <c r="T75" s="168">
        <v>1</v>
      </c>
      <c r="U75" s="168">
        <v>0</v>
      </c>
      <c r="V75" s="168">
        <v>0</v>
      </c>
      <c r="W75" s="168">
        <v>0</v>
      </c>
      <c r="X75" s="168">
        <v>4</v>
      </c>
      <c r="Y75" s="119">
        <v>3</v>
      </c>
      <c r="Z75" s="119">
        <v>2</v>
      </c>
      <c r="AA75" s="183">
        <f t="shared" si="43"/>
        <v>5</v>
      </c>
      <c r="AB75" s="172">
        <f t="shared" si="40"/>
        <v>0.09090909090909091</v>
      </c>
      <c r="AC75" s="168">
        <v>0</v>
      </c>
      <c r="AD75" s="168">
        <v>0</v>
      </c>
      <c r="AE75" s="168">
        <v>0</v>
      </c>
      <c r="AF75" s="168">
        <v>0</v>
      </c>
      <c r="AG75" s="168">
        <v>0</v>
      </c>
      <c r="AH75" s="174">
        <v>0</v>
      </c>
      <c r="AI75" s="174">
        <v>0</v>
      </c>
      <c r="AJ75" s="183">
        <f t="shared" si="44"/>
        <v>0</v>
      </c>
      <c r="AK75" s="172">
        <f t="shared" si="34"/>
        <v>0</v>
      </c>
    </row>
    <row r="76" spans="1:37" s="175" customFormat="1" ht="30" hidden="1" outlineLevel="1">
      <c r="A76" s="165"/>
      <c r="B76" s="184" t="s">
        <v>156</v>
      </c>
      <c r="C76" s="167"/>
      <c r="D76" s="167"/>
      <c r="E76" s="168" t="s">
        <v>152</v>
      </c>
      <c r="F76" s="168" t="s">
        <v>93</v>
      </c>
      <c r="G76" s="168">
        <v>32</v>
      </c>
      <c r="H76" s="168">
        <v>0</v>
      </c>
      <c r="I76" s="170" t="s">
        <v>89</v>
      </c>
      <c r="J76" s="158">
        <v>91</v>
      </c>
      <c r="K76" s="168">
        <v>11</v>
      </c>
      <c r="L76" s="168">
        <v>3</v>
      </c>
      <c r="M76" s="168">
        <v>2</v>
      </c>
      <c r="N76" s="168">
        <v>0</v>
      </c>
      <c r="O76" s="168">
        <v>68</v>
      </c>
      <c r="P76" s="119">
        <v>57</v>
      </c>
      <c r="Q76" s="119">
        <v>27</v>
      </c>
      <c r="R76" s="120">
        <f t="shared" si="42"/>
        <v>84</v>
      </c>
      <c r="S76" s="171">
        <f t="shared" si="45"/>
        <v>0.9230769230769231</v>
      </c>
      <c r="T76" s="168">
        <v>1</v>
      </c>
      <c r="U76" s="168">
        <v>0</v>
      </c>
      <c r="V76" s="168">
        <v>0</v>
      </c>
      <c r="W76" s="168">
        <v>0</v>
      </c>
      <c r="X76" s="168">
        <v>6</v>
      </c>
      <c r="Y76" s="119">
        <v>6</v>
      </c>
      <c r="Z76" s="119">
        <v>1</v>
      </c>
      <c r="AA76" s="183">
        <f t="shared" si="43"/>
        <v>7</v>
      </c>
      <c r="AB76" s="172">
        <f t="shared" si="40"/>
        <v>0.07692307692307693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74">
        <v>0</v>
      </c>
      <c r="AI76" s="174">
        <v>0</v>
      </c>
      <c r="AJ76" s="183">
        <f t="shared" si="44"/>
        <v>0</v>
      </c>
      <c r="AK76" s="172">
        <f t="shared" si="34"/>
        <v>0</v>
      </c>
    </row>
    <row r="77" spans="1:37" s="175" customFormat="1" ht="30" hidden="1" outlineLevel="1">
      <c r="A77" s="165"/>
      <c r="B77" s="184" t="s">
        <v>157</v>
      </c>
      <c r="C77" s="167"/>
      <c r="D77" s="167"/>
      <c r="E77" s="168" t="s">
        <v>152</v>
      </c>
      <c r="F77" s="168" t="s">
        <v>93</v>
      </c>
      <c r="G77" s="168">
        <v>32</v>
      </c>
      <c r="H77" s="168">
        <v>0</v>
      </c>
      <c r="I77" s="170" t="s">
        <v>89</v>
      </c>
      <c r="J77" s="158">
        <v>41</v>
      </c>
      <c r="K77" s="168">
        <v>10</v>
      </c>
      <c r="L77" s="168">
        <v>1</v>
      </c>
      <c r="M77" s="168">
        <v>1</v>
      </c>
      <c r="N77" s="168">
        <v>0</v>
      </c>
      <c r="O77" s="168">
        <v>21</v>
      </c>
      <c r="P77" s="119">
        <v>19</v>
      </c>
      <c r="Q77" s="119">
        <v>14</v>
      </c>
      <c r="R77" s="120">
        <f t="shared" si="42"/>
        <v>33</v>
      </c>
      <c r="S77" s="171">
        <f t="shared" si="45"/>
        <v>0.8048780487804879</v>
      </c>
      <c r="T77" s="168">
        <v>1</v>
      </c>
      <c r="U77" s="168">
        <v>0</v>
      </c>
      <c r="V77" s="168">
        <v>0</v>
      </c>
      <c r="W77" s="168">
        <v>0</v>
      </c>
      <c r="X77" s="168">
        <v>7</v>
      </c>
      <c r="Y77" s="119">
        <v>5</v>
      </c>
      <c r="Z77" s="119">
        <v>3</v>
      </c>
      <c r="AA77" s="183">
        <f t="shared" si="43"/>
        <v>8</v>
      </c>
      <c r="AB77" s="172">
        <f t="shared" si="40"/>
        <v>0.1951219512195122</v>
      </c>
      <c r="AC77" s="168">
        <v>0</v>
      </c>
      <c r="AD77" s="168">
        <v>0</v>
      </c>
      <c r="AE77" s="168">
        <v>0</v>
      </c>
      <c r="AF77" s="168">
        <v>0</v>
      </c>
      <c r="AG77" s="168">
        <v>0</v>
      </c>
      <c r="AH77" s="174">
        <v>0</v>
      </c>
      <c r="AI77" s="174">
        <v>0</v>
      </c>
      <c r="AJ77" s="183">
        <f t="shared" si="44"/>
        <v>0</v>
      </c>
      <c r="AK77" s="172">
        <f t="shared" si="34"/>
        <v>0</v>
      </c>
    </row>
    <row r="78" spans="1:37" s="175" customFormat="1" ht="30" hidden="1" outlineLevel="1">
      <c r="A78" s="165"/>
      <c r="B78" s="184" t="s">
        <v>158</v>
      </c>
      <c r="C78" s="167"/>
      <c r="D78" s="167"/>
      <c r="E78" s="168" t="s">
        <v>152</v>
      </c>
      <c r="F78" s="168" t="s">
        <v>93</v>
      </c>
      <c r="G78" s="168">
        <v>32</v>
      </c>
      <c r="H78" s="168">
        <v>0</v>
      </c>
      <c r="I78" s="170" t="s">
        <v>89</v>
      </c>
      <c r="J78" s="158">
        <v>39</v>
      </c>
      <c r="K78" s="168">
        <v>7</v>
      </c>
      <c r="L78" s="168">
        <v>1</v>
      </c>
      <c r="M78" s="168">
        <v>1</v>
      </c>
      <c r="N78" s="168">
        <v>0</v>
      </c>
      <c r="O78" s="168">
        <v>19</v>
      </c>
      <c r="P78" s="119">
        <v>17</v>
      </c>
      <c r="Q78" s="119">
        <v>11</v>
      </c>
      <c r="R78" s="120">
        <f t="shared" si="42"/>
        <v>28</v>
      </c>
      <c r="S78" s="171">
        <f t="shared" si="45"/>
        <v>0.717948717948718</v>
      </c>
      <c r="T78" s="168">
        <v>3</v>
      </c>
      <c r="U78" s="168">
        <v>1</v>
      </c>
      <c r="V78" s="168">
        <v>0</v>
      </c>
      <c r="W78" s="168">
        <v>0</v>
      </c>
      <c r="X78" s="168">
        <v>7</v>
      </c>
      <c r="Y78" s="119">
        <v>4</v>
      </c>
      <c r="Z78" s="119">
        <v>7</v>
      </c>
      <c r="AA78" s="183">
        <f t="shared" si="43"/>
        <v>11</v>
      </c>
      <c r="AB78" s="172">
        <f t="shared" si="40"/>
        <v>0.28205128205128205</v>
      </c>
      <c r="AC78" s="168">
        <v>0</v>
      </c>
      <c r="AD78" s="168">
        <v>0</v>
      </c>
      <c r="AE78" s="168">
        <v>0</v>
      </c>
      <c r="AF78" s="168">
        <v>0</v>
      </c>
      <c r="AG78" s="168">
        <v>0</v>
      </c>
      <c r="AH78" s="174">
        <v>0</v>
      </c>
      <c r="AI78" s="174">
        <v>0</v>
      </c>
      <c r="AJ78" s="183">
        <f t="shared" si="44"/>
        <v>0</v>
      </c>
      <c r="AK78" s="172">
        <f t="shared" si="34"/>
        <v>0</v>
      </c>
    </row>
    <row r="79" spans="1:37" s="175" customFormat="1" ht="30" hidden="1" outlineLevel="1">
      <c r="A79" s="165"/>
      <c r="B79" s="184" t="s">
        <v>159</v>
      </c>
      <c r="C79" s="167"/>
      <c r="D79" s="167"/>
      <c r="E79" s="168" t="s">
        <v>152</v>
      </c>
      <c r="F79" s="168" t="s">
        <v>93</v>
      </c>
      <c r="G79" s="168">
        <v>32</v>
      </c>
      <c r="H79" s="168">
        <v>0</v>
      </c>
      <c r="I79" s="170" t="s">
        <v>89</v>
      </c>
      <c r="J79" s="158">
        <v>29</v>
      </c>
      <c r="K79" s="168">
        <v>7</v>
      </c>
      <c r="L79" s="168">
        <v>1</v>
      </c>
      <c r="M79" s="168">
        <v>1</v>
      </c>
      <c r="N79" s="168">
        <v>0</v>
      </c>
      <c r="O79" s="168">
        <v>20</v>
      </c>
      <c r="P79" s="119">
        <v>18</v>
      </c>
      <c r="Q79" s="119">
        <v>11</v>
      </c>
      <c r="R79" s="120">
        <f t="shared" si="42"/>
        <v>29</v>
      </c>
      <c r="S79" s="171">
        <f t="shared" si="45"/>
        <v>1</v>
      </c>
      <c r="T79" s="168">
        <v>0</v>
      </c>
      <c r="U79" s="168">
        <v>0</v>
      </c>
      <c r="V79" s="168">
        <v>0</v>
      </c>
      <c r="W79" s="168">
        <v>0</v>
      </c>
      <c r="X79" s="168">
        <v>0</v>
      </c>
      <c r="Y79" s="119">
        <v>0</v>
      </c>
      <c r="Z79" s="119">
        <v>0</v>
      </c>
      <c r="AA79" s="183">
        <f t="shared" si="43"/>
        <v>0</v>
      </c>
      <c r="AB79" s="172">
        <f t="shared" si="40"/>
        <v>0</v>
      </c>
      <c r="AC79" s="168">
        <v>0</v>
      </c>
      <c r="AD79" s="168">
        <v>0</v>
      </c>
      <c r="AE79" s="168">
        <v>0</v>
      </c>
      <c r="AF79" s="168">
        <v>0</v>
      </c>
      <c r="AG79" s="168">
        <v>0</v>
      </c>
      <c r="AH79" s="174">
        <v>0</v>
      </c>
      <c r="AI79" s="174">
        <v>0</v>
      </c>
      <c r="AJ79" s="183">
        <f t="shared" si="44"/>
        <v>0</v>
      </c>
      <c r="AK79" s="172">
        <f t="shared" si="34"/>
        <v>0</v>
      </c>
    </row>
    <row r="80" spans="1:37" s="175" customFormat="1" ht="30" hidden="1" outlineLevel="1">
      <c r="A80" s="165"/>
      <c r="B80" s="184" t="s">
        <v>160</v>
      </c>
      <c r="C80" s="167"/>
      <c r="D80" s="167"/>
      <c r="E80" s="168" t="s">
        <v>152</v>
      </c>
      <c r="F80" s="168" t="s">
        <v>93</v>
      </c>
      <c r="G80" s="168">
        <v>32</v>
      </c>
      <c r="H80" s="168">
        <v>0</v>
      </c>
      <c r="I80" s="170" t="s">
        <v>89</v>
      </c>
      <c r="J80" s="158">
        <v>29</v>
      </c>
      <c r="K80" s="168">
        <v>6</v>
      </c>
      <c r="L80" s="168">
        <v>1</v>
      </c>
      <c r="M80" s="168">
        <v>1</v>
      </c>
      <c r="N80" s="168">
        <v>0</v>
      </c>
      <c r="O80" s="168">
        <v>18</v>
      </c>
      <c r="P80" s="119">
        <v>15</v>
      </c>
      <c r="Q80" s="119">
        <v>11</v>
      </c>
      <c r="R80" s="120">
        <f t="shared" si="42"/>
        <v>26</v>
      </c>
      <c r="S80" s="171">
        <f t="shared" si="45"/>
        <v>0.896551724137931</v>
      </c>
      <c r="T80" s="168">
        <v>1</v>
      </c>
      <c r="U80" s="168">
        <v>0</v>
      </c>
      <c r="V80" s="168">
        <v>0</v>
      </c>
      <c r="W80" s="168">
        <v>0</v>
      </c>
      <c r="X80" s="168">
        <v>2</v>
      </c>
      <c r="Y80" s="119">
        <v>3</v>
      </c>
      <c r="Z80" s="119">
        <v>0</v>
      </c>
      <c r="AA80" s="183">
        <f t="shared" si="43"/>
        <v>3</v>
      </c>
      <c r="AB80" s="172">
        <f t="shared" si="40"/>
        <v>0.10344827586206896</v>
      </c>
      <c r="AC80" s="168">
        <v>0</v>
      </c>
      <c r="AD80" s="168">
        <v>0</v>
      </c>
      <c r="AE80" s="168">
        <v>0</v>
      </c>
      <c r="AF80" s="168">
        <v>0</v>
      </c>
      <c r="AG80" s="168">
        <v>0</v>
      </c>
      <c r="AH80" s="174">
        <v>0</v>
      </c>
      <c r="AI80" s="174">
        <v>0</v>
      </c>
      <c r="AJ80" s="183">
        <f t="shared" si="44"/>
        <v>0</v>
      </c>
      <c r="AK80" s="172">
        <f t="shared" si="34"/>
        <v>0</v>
      </c>
    </row>
    <row r="81" spans="1:37" s="175" customFormat="1" ht="30" hidden="1" outlineLevel="1">
      <c r="A81" s="165"/>
      <c r="B81" s="184" t="s">
        <v>161</v>
      </c>
      <c r="C81" s="167"/>
      <c r="D81" s="167"/>
      <c r="E81" s="168" t="s">
        <v>152</v>
      </c>
      <c r="F81" s="168" t="s">
        <v>93</v>
      </c>
      <c r="G81" s="168">
        <v>32</v>
      </c>
      <c r="H81" s="168">
        <v>0</v>
      </c>
      <c r="I81" s="170" t="s">
        <v>89</v>
      </c>
      <c r="J81" s="158">
        <v>0</v>
      </c>
      <c r="K81" s="168">
        <v>0</v>
      </c>
      <c r="L81" s="168">
        <v>0</v>
      </c>
      <c r="M81" s="168">
        <v>0</v>
      </c>
      <c r="N81" s="168">
        <v>0</v>
      </c>
      <c r="O81" s="168">
        <v>0</v>
      </c>
      <c r="P81" s="119">
        <v>0</v>
      </c>
      <c r="Q81" s="119">
        <v>0</v>
      </c>
      <c r="R81" s="120">
        <f t="shared" si="42"/>
        <v>0</v>
      </c>
      <c r="S81" s="171" t="e">
        <f t="shared" si="45"/>
        <v>#DIV/0!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19">
        <v>0</v>
      </c>
      <c r="Z81" s="119">
        <v>0</v>
      </c>
      <c r="AA81" s="183">
        <f t="shared" si="43"/>
        <v>0</v>
      </c>
      <c r="AB81" s="172" t="e">
        <f t="shared" si="40"/>
        <v>#DIV/0!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74">
        <v>0</v>
      </c>
      <c r="AI81" s="174">
        <v>0</v>
      </c>
      <c r="AJ81" s="183">
        <f t="shared" si="44"/>
        <v>0</v>
      </c>
      <c r="AK81" s="172" t="e">
        <f t="shared" si="34"/>
        <v>#DIV/0!</v>
      </c>
    </row>
    <row r="82" spans="1:37" s="175" customFormat="1" ht="30" hidden="1" outlineLevel="1">
      <c r="A82" s="165"/>
      <c r="B82" s="184" t="s">
        <v>162</v>
      </c>
      <c r="C82" s="167"/>
      <c r="D82" s="167"/>
      <c r="E82" s="168" t="s">
        <v>152</v>
      </c>
      <c r="F82" s="168" t="s">
        <v>93</v>
      </c>
      <c r="G82" s="168">
        <v>32</v>
      </c>
      <c r="H82" s="168">
        <v>0</v>
      </c>
      <c r="I82" s="170" t="s">
        <v>89</v>
      </c>
      <c r="J82" s="158">
        <v>4</v>
      </c>
      <c r="K82" s="168">
        <v>0</v>
      </c>
      <c r="L82" s="168">
        <v>0</v>
      </c>
      <c r="M82" s="168">
        <v>0</v>
      </c>
      <c r="N82" s="168">
        <v>0</v>
      </c>
      <c r="O82" s="168">
        <v>4</v>
      </c>
      <c r="P82" s="119">
        <v>3</v>
      </c>
      <c r="Q82" s="119">
        <v>1</v>
      </c>
      <c r="R82" s="120">
        <f t="shared" si="42"/>
        <v>4</v>
      </c>
      <c r="S82" s="171">
        <f t="shared" si="45"/>
        <v>1</v>
      </c>
      <c r="T82" s="168">
        <v>0</v>
      </c>
      <c r="U82" s="168">
        <v>0</v>
      </c>
      <c r="V82" s="168">
        <v>0</v>
      </c>
      <c r="W82" s="168">
        <v>0</v>
      </c>
      <c r="X82" s="168">
        <v>0</v>
      </c>
      <c r="Y82" s="119">
        <v>0</v>
      </c>
      <c r="Z82" s="119">
        <v>0</v>
      </c>
      <c r="AA82" s="183">
        <f t="shared" si="43"/>
        <v>0</v>
      </c>
      <c r="AB82" s="172">
        <f t="shared" si="40"/>
        <v>0</v>
      </c>
      <c r="AC82" s="168">
        <v>0</v>
      </c>
      <c r="AD82" s="168">
        <v>0</v>
      </c>
      <c r="AE82" s="168">
        <v>0</v>
      </c>
      <c r="AF82" s="168">
        <v>0</v>
      </c>
      <c r="AG82" s="168">
        <v>0</v>
      </c>
      <c r="AH82" s="174">
        <v>0</v>
      </c>
      <c r="AI82" s="174">
        <v>0</v>
      </c>
      <c r="AJ82" s="183">
        <f t="shared" si="44"/>
        <v>0</v>
      </c>
      <c r="AK82" s="172">
        <f t="shared" si="34"/>
        <v>0</v>
      </c>
    </row>
    <row r="83" spans="1:37" s="175" customFormat="1" ht="30" hidden="1" outlineLevel="1">
      <c r="A83" s="165"/>
      <c r="B83" s="184" t="s">
        <v>163</v>
      </c>
      <c r="C83" s="167"/>
      <c r="D83" s="167"/>
      <c r="E83" s="168" t="s">
        <v>152</v>
      </c>
      <c r="F83" s="168" t="s">
        <v>93</v>
      </c>
      <c r="G83" s="168">
        <v>32</v>
      </c>
      <c r="H83" s="168">
        <v>0</v>
      </c>
      <c r="I83" s="170" t="s">
        <v>89</v>
      </c>
      <c r="J83" s="158">
        <v>3</v>
      </c>
      <c r="K83" s="168">
        <v>0</v>
      </c>
      <c r="L83" s="168">
        <v>0</v>
      </c>
      <c r="M83" s="168">
        <v>0</v>
      </c>
      <c r="N83" s="168">
        <v>0</v>
      </c>
      <c r="O83" s="168">
        <v>3</v>
      </c>
      <c r="P83" s="119">
        <v>2</v>
      </c>
      <c r="Q83" s="119">
        <v>1</v>
      </c>
      <c r="R83" s="120">
        <f t="shared" si="42"/>
        <v>3</v>
      </c>
      <c r="S83" s="171">
        <f t="shared" si="45"/>
        <v>1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19">
        <v>0</v>
      </c>
      <c r="Z83" s="119">
        <v>0</v>
      </c>
      <c r="AA83" s="183">
        <f t="shared" si="43"/>
        <v>0</v>
      </c>
      <c r="AB83" s="172">
        <f t="shared" si="40"/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74">
        <v>0</v>
      </c>
      <c r="AI83" s="174">
        <v>0</v>
      </c>
      <c r="AJ83" s="183">
        <f t="shared" si="44"/>
        <v>0</v>
      </c>
      <c r="AK83" s="172">
        <f t="shared" si="34"/>
        <v>0</v>
      </c>
    </row>
    <row r="84" spans="2:37" s="131" customFormat="1" ht="16.5">
      <c r="B84" s="127" t="s">
        <v>164</v>
      </c>
      <c r="C84" s="128"/>
      <c r="D84" s="128"/>
      <c r="E84" s="129"/>
      <c r="F84" s="129"/>
      <c r="G84" s="129">
        <f>SUM(G85:G122)</f>
        <v>427</v>
      </c>
      <c r="H84" s="129">
        <f>SUM(H85:H122)</f>
        <v>0</v>
      </c>
      <c r="I84" s="176"/>
      <c r="J84" s="129">
        <f aca="true" t="shared" si="46" ref="J84:R84">SUM(J85:J122)</f>
        <v>2688</v>
      </c>
      <c r="K84" s="129">
        <f t="shared" si="46"/>
        <v>335</v>
      </c>
      <c r="L84" s="129">
        <f t="shared" si="46"/>
        <v>97</v>
      </c>
      <c r="M84" s="129">
        <f t="shared" si="46"/>
        <v>104</v>
      </c>
      <c r="N84" s="129">
        <f t="shared" si="46"/>
        <v>113</v>
      </c>
      <c r="O84" s="129">
        <f t="shared" si="46"/>
        <v>1475</v>
      </c>
      <c r="P84" s="129">
        <f t="shared" si="46"/>
        <v>1260</v>
      </c>
      <c r="Q84" s="129">
        <f t="shared" si="46"/>
        <v>864</v>
      </c>
      <c r="R84" s="129">
        <f t="shared" si="46"/>
        <v>2124</v>
      </c>
      <c r="S84" s="178">
        <f t="shared" si="45"/>
        <v>0.7901785714285714</v>
      </c>
      <c r="T84" s="129">
        <f aca="true" t="shared" si="47" ref="T84:AA84">SUM(T85:T122)</f>
        <v>169</v>
      </c>
      <c r="U84" s="129">
        <f t="shared" si="47"/>
        <v>15</v>
      </c>
      <c r="V84" s="129">
        <f t="shared" si="47"/>
        <v>34</v>
      </c>
      <c r="W84" s="129">
        <f t="shared" si="47"/>
        <v>35</v>
      </c>
      <c r="X84" s="129">
        <f t="shared" si="47"/>
        <v>311</v>
      </c>
      <c r="Y84" s="129">
        <f t="shared" si="47"/>
        <v>323</v>
      </c>
      <c r="Z84" s="129">
        <f t="shared" si="47"/>
        <v>233</v>
      </c>
      <c r="AA84" s="129">
        <f t="shared" si="47"/>
        <v>564</v>
      </c>
      <c r="AB84" s="179">
        <f t="shared" si="40"/>
        <v>0.20982142857142858</v>
      </c>
      <c r="AC84" s="129">
        <f aca="true" t="shared" si="48" ref="AC84:AJ84">SUM(AC85:AC122)</f>
        <v>0</v>
      </c>
      <c r="AD84" s="129">
        <f t="shared" si="48"/>
        <v>0</v>
      </c>
      <c r="AE84" s="129">
        <f t="shared" si="48"/>
        <v>0</v>
      </c>
      <c r="AF84" s="129">
        <f t="shared" si="48"/>
        <v>0</v>
      </c>
      <c r="AG84" s="129">
        <f t="shared" si="48"/>
        <v>0</v>
      </c>
      <c r="AH84" s="129">
        <f t="shared" si="48"/>
        <v>0</v>
      </c>
      <c r="AI84" s="129">
        <f t="shared" si="48"/>
        <v>0</v>
      </c>
      <c r="AJ84" s="129">
        <f t="shared" si="48"/>
        <v>0</v>
      </c>
      <c r="AK84" s="179">
        <v>0</v>
      </c>
    </row>
    <row r="85" spans="1:37" s="175" customFormat="1" ht="45" hidden="1" outlineLevel="1">
      <c r="A85" s="165"/>
      <c r="B85" s="187" t="s">
        <v>165</v>
      </c>
      <c r="C85" s="185"/>
      <c r="D85" s="186"/>
      <c r="E85" s="168" t="s">
        <v>143</v>
      </c>
      <c r="F85" s="168" t="s">
        <v>129</v>
      </c>
      <c r="G85" s="168">
        <v>14</v>
      </c>
      <c r="H85" s="168">
        <v>0</v>
      </c>
      <c r="I85" s="170" t="s">
        <v>81</v>
      </c>
      <c r="J85" s="158">
        <v>43</v>
      </c>
      <c r="K85" s="168">
        <v>19</v>
      </c>
      <c r="L85" s="168">
        <v>0</v>
      </c>
      <c r="M85" s="168">
        <v>7</v>
      </c>
      <c r="N85" s="168">
        <v>0</v>
      </c>
      <c r="O85" s="168">
        <v>3</v>
      </c>
      <c r="P85" s="119">
        <v>12</v>
      </c>
      <c r="Q85" s="119">
        <v>17</v>
      </c>
      <c r="R85" s="120">
        <f aca="true" t="shared" si="49" ref="R85:R122">+O85+N85+M85+L85+K85</f>
        <v>29</v>
      </c>
      <c r="S85" s="171">
        <f t="shared" si="45"/>
        <v>0.6744186046511628</v>
      </c>
      <c r="T85" s="168">
        <v>11</v>
      </c>
      <c r="U85" s="168">
        <v>0</v>
      </c>
      <c r="V85" s="168">
        <v>3</v>
      </c>
      <c r="W85" s="168">
        <v>0</v>
      </c>
      <c r="X85" s="168">
        <v>0</v>
      </c>
      <c r="Y85" s="119">
        <v>5</v>
      </c>
      <c r="Z85" s="119">
        <v>9</v>
      </c>
      <c r="AA85" s="183">
        <f aca="true" t="shared" si="50" ref="AA85:AA122">SUM(T85:X85)</f>
        <v>14</v>
      </c>
      <c r="AB85" s="172">
        <f t="shared" si="40"/>
        <v>0.32558139534883723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74">
        <v>0</v>
      </c>
      <c r="AI85" s="174">
        <v>0</v>
      </c>
      <c r="AJ85" s="183">
        <f aca="true" t="shared" si="51" ref="AJ85:AJ122">SUM(AC85:AG85)</f>
        <v>0</v>
      </c>
      <c r="AK85" s="172">
        <f aca="true" t="shared" si="52" ref="AK85:AK122">+AJ85/J85</f>
        <v>0</v>
      </c>
    </row>
    <row r="86" spans="1:37" s="175" customFormat="1" ht="45" hidden="1" outlineLevel="1">
      <c r="A86" s="165"/>
      <c r="B86" s="187" t="s">
        <v>166</v>
      </c>
      <c r="C86" s="185"/>
      <c r="D86" s="186"/>
      <c r="E86" s="168" t="s">
        <v>143</v>
      </c>
      <c r="F86" s="168" t="s">
        <v>97</v>
      </c>
      <c r="G86" s="168">
        <v>14</v>
      </c>
      <c r="H86" s="168">
        <v>0</v>
      </c>
      <c r="I86" s="170" t="s">
        <v>81</v>
      </c>
      <c r="J86" s="158">
        <v>17</v>
      </c>
      <c r="K86" s="168">
        <v>5</v>
      </c>
      <c r="L86" s="168">
        <v>0</v>
      </c>
      <c r="M86" s="168">
        <v>0</v>
      </c>
      <c r="N86" s="168">
        <v>0</v>
      </c>
      <c r="O86" s="168">
        <v>0</v>
      </c>
      <c r="P86" s="119">
        <v>4</v>
      </c>
      <c r="Q86" s="119">
        <v>1</v>
      </c>
      <c r="R86" s="120">
        <f t="shared" si="49"/>
        <v>5</v>
      </c>
      <c r="S86" s="171">
        <f t="shared" si="45"/>
        <v>0.29411764705882354</v>
      </c>
      <c r="T86" s="168">
        <v>12</v>
      </c>
      <c r="U86" s="168">
        <v>0</v>
      </c>
      <c r="V86" s="168">
        <v>0</v>
      </c>
      <c r="W86" s="168">
        <v>0</v>
      </c>
      <c r="X86" s="168">
        <v>0</v>
      </c>
      <c r="Y86" s="119">
        <v>7</v>
      </c>
      <c r="Z86" s="119">
        <v>5</v>
      </c>
      <c r="AA86" s="183">
        <f t="shared" si="50"/>
        <v>12</v>
      </c>
      <c r="AB86" s="172">
        <f t="shared" si="40"/>
        <v>0.7058823529411765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74">
        <v>0</v>
      </c>
      <c r="AI86" s="174">
        <v>0</v>
      </c>
      <c r="AJ86" s="183">
        <f t="shared" si="51"/>
        <v>0</v>
      </c>
      <c r="AK86" s="172">
        <f t="shared" si="52"/>
        <v>0</v>
      </c>
    </row>
    <row r="87" spans="1:37" s="175" customFormat="1" ht="45" hidden="1" outlineLevel="1">
      <c r="A87" s="165"/>
      <c r="B87" s="187" t="s">
        <v>167</v>
      </c>
      <c r="C87" s="185"/>
      <c r="D87" s="186"/>
      <c r="E87" s="168" t="s">
        <v>143</v>
      </c>
      <c r="F87" s="168" t="s">
        <v>97</v>
      </c>
      <c r="G87" s="168">
        <v>14</v>
      </c>
      <c r="H87" s="168">
        <v>0</v>
      </c>
      <c r="I87" s="170" t="s">
        <v>81</v>
      </c>
      <c r="J87" s="158">
        <v>28</v>
      </c>
      <c r="K87" s="168">
        <v>0</v>
      </c>
      <c r="L87" s="168">
        <v>0</v>
      </c>
      <c r="M87" s="168">
        <v>25</v>
      </c>
      <c r="N87" s="168">
        <v>0</v>
      </c>
      <c r="O87" s="168">
        <v>0</v>
      </c>
      <c r="P87" s="119">
        <v>17</v>
      </c>
      <c r="Q87" s="119">
        <v>8</v>
      </c>
      <c r="R87" s="120">
        <f t="shared" si="49"/>
        <v>25</v>
      </c>
      <c r="S87" s="171">
        <f t="shared" si="45"/>
        <v>0.8928571428571429</v>
      </c>
      <c r="T87" s="168">
        <v>0</v>
      </c>
      <c r="U87" s="168">
        <v>0</v>
      </c>
      <c r="V87" s="168">
        <v>3</v>
      </c>
      <c r="W87" s="168">
        <v>0</v>
      </c>
      <c r="X87" s="168">
        <v>0</v>
      </c>
      <c r="Y87" s="119">
        <v>3</v>
      </c>
      <c r="Z87" s="119">
        <v>0</v>
      </c>
      <c r="AA87" s="183">
        <f t="shared" si="50"/>
        <v>3</v>
      </c>
      <c r="AB87" s="172">
        <f t="shared" si="40"/>
        <v>0.10714285714285714</v>
      </c>
      <c r="AC87" s="168">
        <v>0</v>
      </c>
      <c r="AD87" s="168">
        <v>0</v>
      </c>
      <c r="AE87" s="168">
        <v>0</v>
      </c>
      <c r="AF87" s="168">
        <v>0</v>
      </c>
      <c r="AG87" s="168">
        <v>0</v>
      </c>
      <c r="AH87" s="174">
        <v>0</v>
      </c>
      <c r="AI87" s="174">
        <v>0</v>
      </c>
      <c r="AJ87" s="183">
        <f t="shared" si="51"/>
        <v>0</v>
      </c>
      <c r="AK87" s="172">
        <f t="shared" si="52"/>
        <v>0</v>
      </c>
    </row>
    <row r="88" spans="1:37" s="175" customFormat="1" ht="45" hidden="1" outlineLevel="1">
      <c r="A88" s="165"/>
      <c r="B88" s="187" t="s">
        <v>168</v>
      </c>
      <c r="C88" s="185"/>
      <c r="D88" s="186"/>
      <c r="E88" s="168" t="s">
        <v>143</v>
      </c>
      <c r="F88" s="168" t="s">
        <v>97</v>
      </c>
      <c r="G88" s="168">
        <v>14</v>
      </c>
      <c r="H88" s="168">
        <v>0</v>
      </c>
      <c r="I88" s="170" t="s">
        <v>81</v>
      </c>
      <c r="J88" s="158">
        <v>9</v>
      </c>
      <c r="K88" s="168">
        <v>0</v>
      </c>
      <c r="L88" s="168">
        <v>9</v>
      </c>
      <c r="M88" s="168">
        <v>0</v>
      </c>
      <c r="N88" s="168">
        <v>0</v>
      </c>
      <c r="O88" s="168">
        <v>0</v>
      </c>
      <c r="P88" s="119">
        <v>4</v>
      </c>
      <c r="Q88" s="119">
        <v>5</v>
      </c>
      <c r="R88" s="120">
        <f t="shared" si="49"/>
        <v>9</v>
      </c>
      <c r="S88" s="171">
        <f t="shared" si="45"/>
        <v>1</v>
      </c>
      <c r="T88" s="168">
        <v>0</v>
      </c>
      <c r="U88" s="168">
        <v>0</v>
      </c>
      <c r="V88" s="168">
        <v>0</v>
      </c>
      <c r="W88" s="168">
        <v>0</v>
      </c>
      <c r="X88" s="168">
        <v>0</v>
      </c>
      <c r="Y88" s="119">
        <v>0</v>
      </c>
      <c r="Z88" s="119">
        <v>0</v>
      </c>
      <c r="AA88" s="183">
        <f t="shared" si="50"/>
        <v>0</v>
      </c>
      <c r="AB88" s="172">
        <f t="shared" si="40"/>
        <v>0</v>
      </c>
      <c r="AC88" s="168">
        <v>0</v>
      </c>
      <c r="AD88" s="168">
        <v>0</v>
      </c>
      <c r="AE88" s="168">
        <v>0</v>
      </c>
      <c r="AF88" s="168">
        <v>0</v>
      </c>
      <c r="AG88" s="168">
        <v>0</v>
      </c>
      <c r="AH88" s="174">
        <v>0</v>
      </c>
      <c r="AI88" s="174">
        <v>0</v>
      </c>
      <c r="AJ88" s="183">
        <f t="shared" si="51"/>
        <v>0</v>
      </c>
      <c r="AK88" s="172">
        <f t="shared" si="52"/>
        <v>0</v>
      </c>
    </row>
    <row r="89" spans="1:37" s="175" customFormat="1" ht="45" hidden="1" outlineLevel="1">
      <c r="A89" s="165"/>
      <c r="B89" s="187" t="s">
        <v>128</v>
      </c>
      <c r="C89" s="185"/>
      <c r="D89" s="186"/>
      <c r="E89" s="168" t="s">
        <v>143</v>
      </c>
      <c r="F89" s="168" t="s">
        <v>129</v>
      </c>
      <c r="G89" s="168">
        <v>14</v>
      </c>
      <c r="H89" s="168">
        <v>0</v>
      </c>
      <c r="I89" s="170" t="s">
        <v>81</v>
      </c>
      <c r="J89" s="158">
        <v>12</v>
      </c>
      <c r="K89" s="168">
        <v>0</v>
      </c>
      <c r="L89" s="168">
        <v>7</v>
      </c>
      <c r="M89" s="168">
        <v>0</v>
      </c>
      <c r="N89" s="168">
        <v>5</v>
      </c>
      <c r="O89" s="168">
        <v>0</v>
      </c>
      <c r="P89" s="119">
        <v>8</v>
      </c>
      <c r="Q89" s="119">
        <v>4</v>
      </c>
      <c r="R89" s="120">
        <f t="shared" si="49"/>
        <v>12</v>
      </c>
      <c r="S89" s="171">
        <f t="shared" si="45"/>
        <v>1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19">
        <v>0</v>
      </c>
      <c r="Z89" s="119">
        <v>0</v>
      </c>
      <c r="AA89" s="183">
        <f t="shared" si="50"/>
        <v>0</v>
      </c>
      <c r="AB89" s="172">
        <f t="shared" si="40"/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74">
        <v>0</v>
      </c>
      <c r="AI89" s="174">
        <v>0</v>
      </c>
      <c r="AJ89" s="183">
        <f t="shared" si="51"/>
        <v>0</v>
      </c>
      <c r="AK89" s="172">
        <f t="shared" si="52"/>
        <v>0</v>
      </c>
    </row>
    <row r="90" spans="1:37" s="175" customFormat="1" ht="45" hidden="1" outlineLevel="1">
      <c r="A90" s="165"/>
      <c r="B90" s="187" t="s">
        <v>169</v>
      </c>
      <c r="C90" s="185"/>
      <c r="D90" s="186"/>
      <c r="E90" s="168" t="s">
        <v>143</v>
      </c>
      <c r="F90" s="168" t="s">
        <v>129</v>
      </c>
      <c r="G90" s="168">
        <v>14</v>
      </c>
      <c r="H90" s="168">
        <v>0</v>
      </c>
      <c r="I90" s="170" t="s">
        <v>81</v>
      </c>
      <c r="J90" s="158">
        <v>33</v>
      </c>
      <c r="K90" s="168">
        <v>0</v>
      </c>
      <c r="L90" s="168">
        <v>0</v>
      </c>
      <c r="M90" s="168">
        <v>0</v>
      </c>
      <c r="N90" s="168">
        <v>0</v>
      </c>
      <c r="O90" s="168">
        <v>33</v>
      </c>
      <c r="P90" s="119">
        <v>27</v>
      </c>
      <c r="Q90" s="119">
        <v>6</v>
      </c>
      <c r="R90" s="120">
        <f t="shared" si="49"/>
        <v>33</v>
      </c>
      <c r="S90" s="171">
        <f t="shared" si="45"/>
        <v>1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19">
        <v>0</v>
      </c>
      <c r="Z90" s="119">
        <v>0</v>
      </c>
      <c r="AA90" s="183">
        <f t="shared" si="50"/>
        <v>0</v>
      </c>
      <c r="AB90" s="172">
        <f t="shared" si="40"/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74">
        <v>0</v>
      </c>
      <c r="AI90" s="174">
        <v>0</v>
      </c>
      <c r="AJ90" s="183">
        <f t="shared" si="51"/>
        <v>0</v>
      </c>
      <c r="AK90" s="172">
        <f t="shared" si="52"/>
        <v>0</v>
      </c>
    </row>
    <row r="91" spans="1:37" s="175" customFormat="1" ht="45" hidden="1" outlineLevel="1">
      <c r="A91" s="165"/>
      <c r="B91" s="187" t="s">
        <v>170</v>
      </c>
      <c r="C91" s="185"/>
      <c r="D91" s="186"/>
      <c r="E91" s="168" t="s">
        <v>143</v>
      </c>
      <c r="F91" s="168" t="s">
        <v>129</v>
      </c>
      <c r="G91" s="168">
        <v>14</v>
      </c>
      <c r="H91" s="168">
        <v>0</v>
      </c>
      <c r="I91" s="170" t="s">
        <v>81</v>
      </c>
      <c r="J91" s="158">
        <v>18</v>
      </c>
      <c r="K91" s="168">
        <v>16</v>
      </c>
      <c r="L91" s="168">
        <v>0</v>
      </c>
      <c r="M91" s="168">
        <v>0</v>
      </c>
      <c r="N91" s="168">
        <v>0</v>
      </c>
      <c r="O91" s="168">
        <v>0</v>
      </c>
      <c r="P91" s="119">
        <v>12</v>
      </c>
      <c r="Q91" s="119">
        <v>4</v>
      </c>
      <c r="R91" s="120">
        <f t="shared" si="49"/>
        <v>16</v>
      </c>
      <c r="S91" s="171">
        <f t="shared" si="45"/>
        <v>0.8888888888888888</v>
      </c>
      <c r="T91" s="168">
        <v>2</v>
      </c>
      <c r="U91" s="168">
        <v>0</v>
      </c>
      <c r="V91" s="168">
        <v>0</v>
      </c>
      <c r="W91" s="168">
        <v>0</v>
      </c>
      <c r="X91" s="168">
        <v>0</v>
      </c>
      <c r="Y91" s="119">
        <v>2</v>
      </c>
      <c r="Z91" s="119">
        <v>0</v>
      </c>
      <c r="AA91" s="183">
        <f t="shared" si="50"/>
        <v>2</v>
      </c>
      <c r="AB91" s="172">
        <f t="shared" si="40"/>
        <v>0.1111111111111111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74">
        <v>0</v>
      </c>
      <c r="AI91" s="174">
        <v>0</v>
      </c>
      <c r="AJ91" s="183">
        <f t="shared" si="51"/>
        <v>0</v>
      </c>
      <c r="AK91" s="172">
        <f t="shared" si="52"/>
        <v>0</v>
      </c>
    </row>
    <row r="92" spans="1:37" s="175" customFormat="1" ht="45" hidden="1" outlineLevel="1">
      <c r="A92" s="165"/>
      <c r="B92" s="187" t="s">
        <v>171</v>
      </c>
      <c r="C92" s="185"/>
      <c r="D92" s="186"/>
      <c r="E92" s="168" t="s">
        <v>143</v>
      </c>
      <c r="F92" s="168" t="s">
        <v>97</v>
      </c>
      <c r="G92" s="168">
        <v>7</v>
      </c>
      <c r="H92" s="168">
        <v>0</v>
      </c>
      <c r="I92" s="170" t="s">
        <v>89</v>
      </c>
      <c r="J92" s="158">
        <v>144</v>
      </c>
      <c r="K92" s="168">
        <v>0</v>
      </c>
      <c r="L92" s="168">
        <v>0</v>
      </c>
      <c r="M92" s="168">
        <v>0</v>
      </c>
      <c r="N92" s="168">
        <v>0</v>
      </c>
      <c r="O92" s="168">
        <v>102</v>
      </c>
      <c r="P92" s="119">
        <v>26</v>
      </c>
      <c r="Q92" s="119">
        <v>76</v>
      </c>
      <c r="R92" s="120">
        <f t="shared" si="49"/>
        <v>102</v>
      </c>
      <c r="S92" s="171">
        <f t="shared" si="45"/>
        <v>0.7083333333333334</v>
      </c>
      <c r="T92" s="168">
        <v>0</v>
      </c>
      <c r="U92" s="168">
        <v>0</v>
      </c>
      <c r="V92" s="168">
        <v>0</v>
      </c>
      <c r="W92" s="168">
        <v>0</v>
      </c>
      <c r="X92" s="168">
        <v>42</v>
      </c>
      <c r="Y92" s="119">
        <v>23</v>
      </c>
      <c r="Z92" s="119">
        <v>19</v>
      </c>
      <c r="AA92" s="183">
        <f t="shared" si="50"/>
        <v>42</v>
      </c>
      <c r="AB92" s="172">
        <f t="shared" si="40"/>
        <v>0.2916666666666667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74">
        <v>0</v>
      </c>
      <c r="AI92" s="174">
        <v>0</v>
      </c>
      <c r="AJ92" s="183">
        <f t="shared" si="51"/>
        <v>0</v>
      </c>
      <c r="AK92" s="172">
        <f t="shared" si="52"/>
        <v>0</v>
      </c>
    </row>
    <row r="93" spans="1:37" s="175" customFormat="1" ht="45" hidden="1" outlineLevel="1">
      <c r="A93" s="165"/>
      <c r="B93" s="187" t="s">
        <v>172</v>
      </c>
      <c r="C93" s="185"/>
      <c r="D93" s="186"/>
      <c r="E93" s="168" t="s">
        <v>143</v>
      </c>
      <c r="F93" s="168" t="s">
        <v>97</v>
      </c>
      <c r="G93" s="168">
        <v>7</v>
      </c>
      <c r="H93" s="168">
        <v>0</v>
      </c>
      <c r="I93" s="170" t="s">
        <v>89</v>
      </c>
      <c r="J93" s="158">
        <v>124</v>
      </c>
      <c r="K93" s="168">
        <v>0</v>
      </c>
      <c r="L93" s="168">
        <v>0</v>
      </c>
      <c r="M93" s="168">
        <v>0</v>
      </c>
      <c r="N93" s="168">
        <v>0</v>
      </c>
      <c r="O93" s="168">
        <v>99</v>
      </c>
      <c r="P93" s="119">
        <v>26</v>
      </c>
      <c r="Q93" s="119">
        <v>73</v>
      </c>
      <c r="R93" s="120">
        <f t="shared" si="49"/>
        <v>99</v>
      </c>
      <c r="S93" s="171">
        <f t="shared" si="45"/>
        <v>0.7983870967741935</v>
      </c>
      <c r="T93" s="168">
        <v>0</v>
      </c>
      <c r="U93" s="168">
        <v>0</v>
      </c>
      <c r="V93" s="168">
        <v>0</v>
      </c>
      <c r="W93" s="168">
        <v>0</v>
      </c>
      <c r="X93" s="168">
        <v>25</v>
      </c>
      <c r="Y93" s="119">
        <v>10</v>
      </c>
      <c r="Z93" s="119">
        <v>15</v>
      </c>
      <c r="AA93" s="183">
        <f t="shared" si="50"/>
        <v>25</v>
      </c>
      <c r="AB93" s="172">
        <f t="shared" si="40"/>
        <v>0.20161290322580644</v>
      </c>
      <c r="AC93" s="168">
        <v>0</v>
      </c>
      <c r="AD93" s="168">
        <v>0</v>
      </c>
      <c r="AE93" s="168">
        <v>0</v>
      </c>
      <c r="AF93" s="168">
        <v>0</v>
      </c>
      <c r="AG93" s="168">
        <v>0</v>
      </c>
      <c r="AH93" s="174">
        <v>0</v>
      </c>
      <c r="AI93" s="174">
        <v>0</v>
      </c>
      <c r="AJ93" s="183">
        <f t="shared" si="51"/>
        <v>0</v>
      </c>
      <c r="AK93" s="172">
        <f t="shared" si="52"/>
        <v>0</v>
      </c>
    </row>
    <row r="94" spans="1:37" s="175" customFormat="1" ht="45" hidden="1" outlineLevel="1">
      <c r="A94" s="165"/>
      <c r="B94" s="187" t="s">
        <v>173</v>
      </c>
      <c r="C94" s="185"/>
      <c r="D94" s="186"/>
      <c r="E94" s="168" t="s">
        <v>143</v>
      </c>
      <c r="F94" s="168" t="s">
        <v>97</v>
      </c>
      <c r="G94" s="168">
        <v>7</v>
      </c>
      <c r="H94" s="168">
        <v>0</v>
      </c>
      <c r="I94" s="170" t="s">
        <v>89</v>
      </c>
      <c r="J94" s="158">
        <v>125</v>
      </c>
      <c r="K94" s="168">
        <v>0</v>
      </c>
      <c r="L94" s="168">
        <v>0</v>
      </c>
      <c r="M94" s="168">
        <v>0</v>
      </c>
      <c r="N94" s="168">
        <v>0</v>
      </c>
      <c r="O94" s="168">
        <v>104</v>
      </c>
      <c r="P94" s="119">
        <v>29</v>
      </c>
      <c r="Q94" s="119">
        <v>75</v>
      </c>
      <c r="R94" s="120">
        <f t="shared" si="49"/>
        <v>104</v>
      </c>
      <c r="S94" s="171">
        <f t="shared" si="45"/>
        <v>0.832</v>
      </c>
      <c r="T94" s="168">
        <v>0</v>
      </c>
      <c r="U94" s="168">
        <v>0</v>
      </c>
      <c r="V94" s="168">
        <v>0</v>
      </c>
      <c r="W94" s="168">
        <v>0</v>
      </c>
      <c r="X94" s="168">
        <v>21</v>
      </c>
      <c r="Y94" s="119">
        <v>8</v>
      </c>
      <c r="Z94" s="119">
        <v>13</v>
      </c>
      <c r="AA94" s="183">
        <f t="shared" si="50"/>
        <v>21</v>
      </c>
      <c r="AB94" s="172">
        <f t="shared" si="40"/>
        <v>0.168</v>
      </c>
      <c r="AC94" s="168">
        <v>0</v>
      </c>
      <c r="AD94" s="168">
        <v>0</v>
      </c>
      <c r="AE94" s="168">
        <v>0</v>
      </c>
      <c r="AF94" s="168">
        <v>0</v>
      </c>
      <c r="AG94" s="168">
        <v>0</v>
      </c>
      <c r="AH94" s="174">
        <v>0</v>
      </c>
      <c r="AI94" s="174">
        <v>0</v>
      </c>
      <c r="AJ94" s="183">
        <f t="shared" si="51"/>
        <v>0</v>
      </c>
      <c r="AK94" s="172">
        <f t="shared" si="52"/>
        <v>0</v>
      </c>
    </row>
    <row r="95" spans="1:37" s="175" customFormat="1" ht="45" hidden="1" outlineLevel="1">
      <c r="A95" s="165"/>
      <c r="B95" s="187" t="s">
        <v>174</v>
      </c>
      <c r="C95" s="185"/>
      <c r="D95" s="186"/>
      <c r="E95" s="168" t="s">
        <v>143</v>
      </c>
      <c r="F95" s="168" t="s">
        <v>97</v>
      </c>
      <c r="G95" s="168">
        <v>7</v>
      </c>
      <c r="H95" s="168">
        <v>0</v>
      </c>
      <c r="I95" s="170" t="s">
        <v>89</v>
      </c>
      <c r="J95" s="158">
        <v>125</v>
      </c>
      <c r="K95" s="168">
        <v>0</v>
      </c>
      <c r="L95" s="168">
        <v>0</v>
      </c>
      <c r="M95" s="168">
        <v>0</v>
      </c>
      <c r="N95" s="168">
        <v>0</v>
      </c>
      <c r="O95" s="168">
        <v>101</v>
      </c>
      <c r="P95" s="119">
        <v>28</v>
      </c>
      <c r="Q95" s="119">
        <v>73</v>
      </c>
      <c r="R95" s="120">
        <f t="shared" si="49"/>
        <v>101</v>
      </c>
      <c r="S95" s="171">
        <f t="shared" si="45"/>
        <v>0.808</v>
      </c>
      <c r="T95" s="168">
        <v>0</v>
      </c>
      <c r="U95" s="168">
        <v>0</v>
      </c>
      <c r="V95" s="168">
        <v>0</v>
      </c>
      <c r="W95" s="168">
        <v>0</v>
      </c>
      <c r="X95" s="168">
        <v>24</v>
      </c>
      <c r="Y95" s="119">
        <v>6</v>
      </c>
      <c r="Z95" s="119">
        <v>18</v>
      </c>
      <c r="AA95" s="183">
        <f t="shared" si="50"/>
        <v>24</v>
      </c>
      <c r="AB95" s="172">
        <f aca="true" t="shared" si="53" ref="AB95:AB126">+AA95/J95</f>
        <v>0.192</v>
      </c>
      <c r="AC95" s="168">
        <v>0</v>
      </c>
      <c r="AD95" s="168">
        <v>0</v>
      </c>
      <c r="AE95" s="168">
        <v>0</v>
      </c>
      <c r="AF95" s="168">
        <v>0</v>
      </c>
      <c r="AG95" s="168">
        <v>0</v>
      </c>
      <c r="AH95" s="174">
        <v>0</v>
      </c>
      <c r="AI95" s="174">
        <v>0</v>
      </c>
      <c r="AJ95" s="183">
        <f t="shared" si="51"/>
        <v>0</v>
      </c>
      <c r="AK95" s="172">
        <f t="shared" si="52"/>
        <v>0</v>
      </c>
    </row>
    <row r="96" spans="1:37" s="144" customFormat="1" ht="45" hidden="1" outlineLevel="1">
      <c r="A96" s="132"/>
      <c r="B96" s="188" t="s">
        <v>175</v>
      </c>
      <c r="C96" s="189"/>
      <c r="D96" s="190"/>
      <c r="E96" s="135" t="s">
        <v>143</v>
      </c>
      <c r="F96" s="135" t="s">
        <v>97</v>
      </c>
      <c r="G96" s="135">
        <v>7</v>
      </c>
      <c r="H96" s="135">
        <v>0</v>
      </c>
      <c r="I96" s="136" t="s">
        <v>89</v>
      </c>
      <c r="J96" s="137">
        <v>109</v>
      </c>
      <c r="K96" s="135">
        <v>0</v>
      </c>
      <c r="L96" s="135">
        <v>0</v>
      </c>
      <c r="M96" s="135">
        <v>0</v>
      </c>
      <c r="N96" s="135">
        <v>0</v>
      </c>
      <c r="O96" s="135">
        <v>102</v>
      </c>
      <c r="P96" s="138">
        <v>69</v>
      </c>
      <c r="Q96" s="138">
        <v>33</v>
      </c>
      <c r="R96" s="139">
        <f t="shared" si="49"/>
        <v>102</v>
      </c>
      <c r="S96" s="145">
        <f t="shared" si="45"/>
        <v>0.9357798165137615</v>
      </c>
      <c r="T96" s="135">
        <v>0</v>
      </c>
      <c r="U96" s="135">
        <v>0</v>
      </c>
      <c r="V96" s="135">
        <v>0</v>
      </c>
      <c r="W96" s="135">
        <v>0</v>
      </c>
      <c r="X96" s="135">
        <v>7</v>
      </c>
      <c r="Y96" s="138">
        <v>1</v>
      </c>
      <c r="Z96" s="138">
        <v>6</v>
      </c>
      <c r="AA96" s="191">
        <f t="shared" si="50"/>
        <v>7</v>
      </c>
      <c r="AB96" s="147">
        <f t="shared" si="53"/>
        <v>0.06422018348623854</v>
      </c>
      <c r="AC96" s="135">
        <v>0</v>
      </c>
      <c r="AD96" s="135">
        <v>0</v>
      </c>
      <c r="AE96" s="135">
        <v>0</v>
      </c>
      <c r="AF96" s="135">
        <v>0</v>
      </c>
      <c r="AG96" s="135">
        <v>0</v>
      </c>
      <c r="AH96" s="141">
        <v>0</v>
      </c>
      <c r="AI96" s="141">
        <v>0</v>
      </c>
      <c r="AJ96" s="191">
        <f t="shared" si="51"/>
        <v>0</v>
      </c>
      <c r="AK96" s="147">
        <f t="shared" si="52"/>
        <v>0</v>
      </c>
    </row>
    <row r="97" spans="1:37" s="144" customFormat="1" ht="45" hidden="1" outlineLevel="1">
      <c r="A97" s="132"/>
      <c r="B97" s="188" t="s">
        <v>176</v>
      </c>
      <c r="C97" s="189"/>
      <c r="D97" s="190"/>
      <c r="E97" s="135" t="s">
        <v>143</v>
      </c>
      <c r="F97" s="135" t="s">
        <v>97</v>
      </c>
      <c r="G97" s="135">
        <v>7</v>
      </c>
      <c r="H97" s="135">
        <v>0</v>
      </c>
      <c r="I97" s="136" t="s">
        <v>89</v>
      </c>
      <c r="J97" s="137">
        <v>94</v>
      </c>
      <c r="K97" s="135">
        <v>0</v>
      </c>
      <c r="L97" s="135">
        <v>0</v>
      </c>
      <c r="M97" s="135">
        <v>0</v>
      </c>
      <c r="N97" s="135">
        <v>0</v>
      </c>
      <c r="O97" s="135">
        <v>90</v>
      </c>
      <c r="P97" s="138">
        <v>59</v>
      </c>
      <c r="Q97" s="138">
        <v>31</v>
      </c>
      <c r="R97" s="139">
        <f t="shared" si="49"/>
        <v>90</v>
      </c>
      <c r="S97" s="145">
        <f t="shared" si="45"/>
        <v>0.9574468085106383</v>
      </c>
      <c r="T97" s="135">
        <v>0</v>
      </c>
      <c r="U97" s="135">
        <v>0</v>
      </c>
      <c r="V97" s="135">
        <v>0</v>
      </c>
      <c r="W97" s="135">
        <v>0</v>
      </c>
      <c r="X97" s="135">
        <v>4</v>
      </c>
      <c r="Y97" s="138">
        <v>0</v>
      </c>
      <c r="Z97" s="138">
        <v>0</v>
      </c>
      <c r="AA97" s="191">
        <f t="shared" si="50"/>
        <v>4</v>
      </c>
      <c r="AB97" s="147">
        <f t="shared" si="53"/>
        <v>0.0425531914893617</v>
      </c>
      <c r="AC97" s="135">
        <v>0</v>
      </c>
      <c r="AD97" s="135">
        <v>0</v>
      </c>
      <c r="AE97" s="135">
        <v>0</v>
      </c>
      <c r="AF97" s="135">
        <v>0</v>
      </c>
      <c r="AG97" s="135">
        <v>0</v>
      </c>
      <c r="AH97" s="141">
        <v>0</v>
      </c>
      <c r="AI97" s="141">
        <v>0</v>
      </c>
      <c r="AJ97" s="191">
        <f t="shared" si="51"/>
        <v>0</v>
      </c>
      <c r="AK97" s="147">
        <f t="shared" si="52"/>
        <v>0</v>
      </c>
    </row>
    <row r="98" spans="1:37" s="175" customFormat="1" ht="45" hidden="1" outlineLevel="1">
      <c r="A98" s="165"/>
      <c r="B98" s="187" t="s">
        <v>177</v>
      </c>
      <c r="C98" s="185"/>
      <c r="D98" s="186"/>
      <c r="E98" s="168" t="s">
        <v>143</v>
      </c>
      <c r="F98" s="168" t="s">
        <v>97</v>
      </c>
      <c r="G98" s="168">
        <v>7</v>
      </c>
      <c r="H98" s="168">
        <v>0</v>
      </c>
      <c r="I98" s="170" t="s">
        <v>89</v>
      </c>
      <c r="J98" s="158">
        <v>100</v>
      </c>
      <c r="K98" s="168">
        <v>0</v>
      </c>
      <c r="L98" s="168">
        <v>0</v>
      </c>
      <c r="M98" s="168">
        <v>0</v>
      </c>
      <c r="N98" s="168">
        <v>0</v>
      </c>
      <c r="O98" s="168">
        <v>94</v>
      </c>
      <c r="P98" s="119">
        <v>65</v>
      </c>
      <c r="Q98" s="119">
        <v>29</v>
      </c>
      <c r="R98" s="120">
        <f t="shared" si="49"/>
        <v>94</v>
      </c>
      <c r="S98" s="171">
        <f t="shared" si="45"/>
        <v>0.94</v>
      </c>
      <c r="T98" s="168">
        <v>0</v>
      </c>
      <c r="U98" s="168">
        <v>0</v>
      </c>
      <c r="V98" s="168">
        <v>0</v>
      </c>
      <c r="W98" s="168">
        <v>0</v>
      </c>
      <c r="X98" s="168">
        <v>6</v>
      </c>
      <c r="Y98" s="119">
        <v>0</v>
      </c>
      <c r="Z98" s="119">
        <v>6</v>
      </c>
      <c r="AA98" s="183">
        <f t="shared" si="50"/>
        <v>6</v>
      </c>
      <c r="AB98" s="172">
        <f t="shared" si="53"/>
        <v>0.06</v>
      </c>
      <c r="AC98" s="168">
        <v>0</v>
      </c>
      <c r="AD98" s="168">
        <v>0</v>
      </c>
      <c r="AE98" s="168">
        <v>0</v>
      </c>
      <c r="AF98" s="168">
        <v>0</v>
      </c>
      <c r="AG98" s="168">
        <v>0</v>
      </c>
      <c r="AH98" s="174">
        <v>0</v>
      </c>
      <c r="AI98" s="174">
        <v>0</v>
      </c>
      <c r="AJ98" s="183">
        <f t="shared" si="51"/>
        <v>0</v>
      </c>
      <c r="AK98" s="172">
        <f t="shared" si="52"/>
        <v>0</v>
      </c>
    </row>
    <row r="99" spans="1:37" s="144" customFormat="1" ht="45" hidden="1" outlineLevel="1">
      <c r="A99" s="132"/>
      <c r="B99" s="188" t="s">
        <v>178</v>
      </c>
      <c r="C99" s="189"/>
      <c r="D99" s="190"/>
      <c r="E99" s="135" t="s">
        <v>143</v>
      </c>
      <c r="F99" s="135" t="s">
        <v>97</v>
      </c>
      <c r="G99" s="135">
        <v>7</v>
      </c>
      <c r="H99" s="135">
        <v>0</v>
      </c>
      <c r="I99" s="136" t="s">
        <v>89</v>
      </c>
      <c r="J99" s="137">
        <v>137</v>
      </c>
      <c r="K99" s="135">
        <v>0</v>
      </c>
      <c r="L99" s="135">
        <v>0</v>
      </c>
      <c r="M99" s="135">
        <v>0</v>
      </c>
      <c r="N99" s="135">
        <v>0</v>
      </c>
      <c r="O99" s="135">
        <v>106</v>
      </c>
      <c r="P99" s="138">
        <v>69</v>
      </c>
      <c r="Q99" s="138">
        <v>37</v>
      </c>
      <c r="R99" s="139">
        <f t="shared" si="49"/>
        <v>106</v>
      </c>
      <c r="S99" s="145">
        <f t="shared" si="45"/>
        <v>0.7737226277372263</v>
      </c>
      <c r="T99" s="135">
        <v>0</v>
      </c>
      <c r="U99" s="135">
        <v>0</v>
      </c>
      <c r="V99" s="135">
        <v>0</v>
      </c>
      <c r="W99" s="135">
        <v>0</v>
      </c>
      <c r="X99" s="135">
        <v>31</v>
      </c>
      <c r="Y99" s="138">
        <v>16</v>
      </c>
      <c r="Z99" s="138">
        <v>11</v>
      </c>
      <c r="AA99" s="191">
        <f t="shared" si="50"/>
        <v>31</v>
      </c>
      <c r="AB99" s="147">
        <f t="shared" si="53"/>
        <v>0.22627737226277372</v>
      </c>
      <c r="AC99" s="135">
        <v>0</v>
      </c>
      <c r="AD99" s="135">
        <v>0</v>
      </c>
      <c r="AE99" s="135">
        <v>0</v>
      </c>
      <c r="AF99" s="135">
        <v>0</v>
      </c>
      <c r="AG99" s="135">
        <v>0</v>
      </c>
      <c r="AH99" s="141">
        <v>0</v>
      </c>
      <c r="AI99" s="141">
        <v>0</v>
      </c>
      <c r="AJ99" s="191">
        <f t="shared" si="51"/>
        <v>0</v>
      </c>
      <c r="AK99" s="147">
        <f t="shared" si="52"/>
        <v>0</v>
      </c>
    </row>
    <row r="100" spans="1:37" s="175" customFormat="1" ht="45" hidden="1" outlineLevel="1">
      <c r="A100" s="165"/>
      <c r="B100" s="187" t="s">
        <v>179</v>
      </c>
      <c r="C100" s="185"/>
      <c r="D100" s="186"/>
      <c r="E100" s="168" t="s">
        <v>143</v>
      </c>
      <c r="F100" s="168" t="s">
        <v>97</v>
      </c>
      <c r="G100" s="168">
        <v>7</v>
      </c>
      <c r="H100" s="168">
        <v>0</v>
      </c>
      <c r="I100" s="170" t="s">
        <v>89</v>
      </c>
      <c r="J100" s="158">
        <v>144</v>
      </c>
      <c r="K100" s="168">
        <v>0</v>
      </c>
      <c r="L100" s="168">
        <v>0</v>
      </c>
      <c r="M100" s="168">
        <v>0</v>
      </c>
      <c r="N100" s="168">
        <v>0</v>
      </c>
      <c r="O100" s="168">
        <v>123</v>
      </c>
      <c r="P100" s="119">
        <v>103</v>
      </c>
      <c r="Q100" s="119">
        <v>20</v>
      </c>
      <c r="R100" s="120">
        <f t="shared" si="49"/>
        <v>123</v>
      </c>
      <c r="S100" s="171">
        <f t="shared" si="45"/>
        <v>0.8541666666666666</v>
      </c>
      <c r="T100" s="168">
        <v>0</v>
      </c>
      <c r="U100" s="168">
        <v>0</v>
      </c>
      <c r="V100" s="168">
        <v>0</v>
      </c>
      <c r="W100" s="168">
        <v>0</v>
      </c>
      <c r="X100" s="168">
        <v>21</v>
      </c>
      <c r="Y100" s="119">
        <v>19</v>
      </c>
      <c r="Z100" s="119">
        <v>2</v>
      </c>
      <c r="AA100" s="183">
        <f t="shared" si="50"/>
        <v>21</v>
      </c>
      <c r="AB100" s="172">
        <f t="shared" si="53"/>
        <v>0.14583333333333334</v>
      </c>
      <c r="AC100" s="168">
        <v>0</v>
      </c>
      <c r="AD100" s="168">
        <v>0</v>
      </c>
      <c r="AE100" s="168">
        <v>0</v>
      </c>
      <c r="AF100" s="168">
        <v>0</v>
      </c>
      <c r="AG100" s="168">
        <v>0</v>
      </c>
      <c r="AH100" s="174">
        <v>0</v>
      </c>
      <c r="AI100" s="174">
        <v>0</v>
      </c>
      <c r="AJ100" s="183">
        <f t="shared" si="51"/>
        <v>0</v>
      </c>
      <c r="AK100" s="172">
        <f t="shared" si="52"/>
        <v>0</v>
      </c>
    </row>
    <row r="101" spans="1:37" s="175" customFormat="1" ht="45" hidden="1" outlineLevel="1">
      <c r="A101" s="165"/>
      <c r="B101" s="187" t="s">
        <v>180</v>
      </c>
      <c r="C101" s="185"/>
      <c r="D101" s="186"/>
      <c r="E101" s="168" t="s">
        <v>143</v>
      </c>
      <c r="F101" s="168" t="s">
        <v>97</v>
      </c>
      <c r="G101" s="168">
        <v>7</v>
      </c>
      <c r="H101" s="168">
        <v>0</v>
      </c>
      <c r="I101" s="170" t="s">
        <v>89</v>
      </c>
      <c r="J101" s="158">
        <v>175</v>
      </c>
      <c r="K101" s="168">
        <v>0</v>
      </c>
      <c r="L101" s="168">
        <v>0</v>
      </c>
      <c r="M101" s="168">
        <v>0</v>
      </c>
      <c r="N101" s="168">
        <v>0</v>
      </c>
      <c r="O101" s="168">
        <v>138</v>
      </c>
      <c r="P101" s="119">
        <v>113</v>
      </c>
      <c r="Q101" s="119">
        <v>25</v>
      </c>
      <c r="R101" s="120">
        <f t="shared" si="49"/>
        <v>138</v>
      </c>
      <c r="S101" s="171">
        <f t="shared" si="45"/>
        <v>0.7885714285714286</v>
      </c>
      <c r="T101" s="168">
        <v>0</v>
      </c>
      <c r="U101" s="168">
        <v>0</v>
      </c>
      <c r="V101" s="168">
        <v>0</v>
      </c>
      <c r="W101" s="168">
        <v>0</v>
      </c>
      <c r="X101" s="168">
        <v>37</v>
      </c>
      <c r="Y101" s="119">
        <v>35</v>
      </c>
      <c r="Z101" s="119">
        <v>2</v>
      </c>
      <c r="AA101" s="183">
        <f t="shared" si="50"/>
        <v>37</v>
      </c>
      <c r="AB101" s="172">
        <f t="shared" si="53"/>
        <v>0.21142857142857144</v>
      </c>
      <c r="AC101" s="168">
        <v>0</v>
      </c>
      <c r="AD101" s="168">
        <v>0</v>
      </c>
      <c r="AE101" s="168">
        <v>0</v>
      </c>
      <c r="AF101" s="168">
        <v>0</v>
      </c>
      <c r="AG101" s="168">
        <v>0</v>
      </c>
      <c r="AH101" s="174">
        <v>0</v>
      </c>
      <c r="AI101" s="174">
        <v>0</v>
      </c>
      <c r="AJ101" s="183">
        <f t="shared" si="51"/>
        <v>0</v>
      </c>
      <c r="AK101" s="172">
        <f t="shared" si="52"/>
        <v>0</v>
      </c>
    </row>
    <row r="102" spans="1:37" s="175" customFormat="1" ht="45" hidden="1" outlineLevel="1">
      <c r="A102" s="165"/>
      <c r="B102" s="187" t="s">
        <v>181</v>
      </c>
      <c r="C102" s="185"/>
      <c r="D102" s="186"/>
      <c r="E102" s="168" t="s">
        <v>143</v>
      </c>
      <c r="F102" s="168" t="s">
        <v>97</v>
      </c>
      <c r="G102" s="168">
        <v>7</v>
      </c>
      <c r="H102" s="168">
        <v>0</v>
      </c>
      <c r="I102" s="170" t="s">
        <v>89</v>
      </c>
      <c r="J102" s="158">
        <v>150</v>
      </c>
      <c r="K102" s="168">
        <v>0</v>
      </c>
      <c r="L102" s="168">
        <v>0</v>
      </c>
      <c r="M102" s="168">
        <v>0</v>
      </c>
      <c r="N102" s="168">
        <v>0</v>
      </c>
      <c r="O102" s="168">
        <v>116</v>
      </c>
      <c r="P102" s="119">
        <v>97</v>
      </c>
      <c r="Q102" s="119">
        <v>19</v>
      </c>
      <c r="R102" s="120">
        <f t="shared" si="49"/>
        <v>116</v>
      </c>
      <c r="S102" s="171">
        <f aca="true" t="shared" si="54" ref="S102:S133">+R102/J102</f>
        <v>0.7733333333333333</v>
      </c>
      <c r="T102" s="168">
        <v>0</v>
      </c>
      <c r="U102" s="168">
        <v>0</v>
      </c>
      <c r="V102" s="168">
        <v>0</v>
      </c>
      <c r="W102" s="168">
        <v>0</v>
      </c>
      <c r="X102" s="168">
        <v>34</v>
      </c>
      <c r="Y102" s="119">
        <v>31</v>
      </c>
      <c r="Z102" s="119">
        <v>3</v>
      </c>
      <c r="AA102" s="183">
        <f t="shared" si="50"/>
        <v>34</v>
      </c>
      <c r="AB102" s="172">
        <f t="shared" si="53"/>
        <v>0.22666666666666666</v>
      </c>
      <c r="AC102" s="168">
        <v>0</v>
      </c>
      <c r="AD102" s="168">
        <v>0</v>
      </c>
      <c r="AE102" s="168">
        <v>0</v>
      </c>
      <c r="AF102" s="168">
        <v>0</v>
      </c>
      <c r="AG102" s="168">
        <v>0</v>
      </c>
      <c r="AH102" s="174">
        <v>0</v>
      </c>
      <c r="AI102" s="174">
        <v>0</v>
      </c>
      <c r="AJ102" s="183">
        <f t="shared" si="51"/>
        <v>0</v>
      </c>
      <c r="AK102" s="172">
        <f t="shared" si="52"/>
        <v>0</v>
      </c>
    </row>
    <row r="103" spans="1:37" s="175" customFormat="1" ht="45" hidden="1" outlineLevel="1">
      <c r="A103" s="165"/>
      <c r="B103" s="187" t="s">
        <v>182</v>
      </c>
      <c r="C103" s="185"/>
      <c r="D103" s="186"/>
      <c r="E103" s="168" t="s">
        <v>143</v>
      </c>
      <c r="F103" s="168" t="s">
        <v>97</v>
      </c>
      <c r="G103" s="168">
        <v>7</v>
      </c>
      <c r="H103" s="168">
        <v>0</v>
      </c>
      <c r="I103" s="170" t="s">
        <v>89</v>
      </c>
      <c r="J103" s="158">
        <v>150</v>
      </c>
      <c r="K103" s="168">
        <v>0</v>
      </c>
      <c r="L103" s="168">
        <v>0</v>
      </c>
      <c r="M103" s="168">
        <v>0</v>
      </c>
      <c r="N103" s="168">
        <v>0</v>
      </c>
      <c r="O103" s="168">
        <v>115</v>
      </c>
      <c r="P103" s="119">
        <v>98</v>
      </c>
      <c r="Q103" s="119">
        <v>17</v>
      </c>
      <c r="R103" s="120">
        <f t="shared" si="49"/>
        <v>115</v>
      </c>
      <c r="S103" s="171">
        <f t="shared" si="54"/>
        <v>0.7666666666666667</v>
      </c>
      <c r="T103" s="168">
        <v>0</v>
      </c>
      <c r="U103" s="168">
        <v>0</v>
      </c>
      <c r="V103" s="168">
        <v>0</v>
      </c>
      <c r="W103" s="168">
        <v>0</v>
      </c>
      <c r="X103" s="168">
        <v>35</v>
      </c>
      <c r="Y103" s="119">
        <v>31</v>
      </c>
      <c r="Z103" s="119">
        <v>4</v>
      </c>
      <c r="AA103" s="183">
        <f t="shared" si="50"/>
        <v>35</v>
      </c>
      <c r="AB103" s="172">
        <f t="shared" si="53"/>
        <v>0.23333333333333334</v>
      </c>
      <c r="AC103" s="168">
        <v>0</v>
      </c>
      <c r="AD103" s="168">
        <v>0</v>
      </c>
      <c r="AE103" s="168">
        <v>0</v>
      </c>
      <c r="AF103" s="168">
        <v>0</v>
      </c>
      <c r="AG103" s="168">
        <v>0</v>
      </c>
      <c r="AH103" s="174">
        <v>0</v>
      </c>
      <c r="AI103" s="174">
        <v>0</v>
      </c>
      <c r="AJ103" s="183">
        <f t="shared" si="51"/>
        <v>0</v>
      </c>
      <c r="AK103" s="172">
        <f t="shared" si="52"/>
        <v>0</v>
      </c>
    </row>
    <row r="104" spans="1:37" s="175" customFormat="1" ht="45" hidden="1" outlineLevel="1">
      <c r="A104" s="165"/>
      <c r="B104" s="187" t="s">
        <v>183</v>
      </c>
      <c r="C104" s="185"/>
      <c r="D104" s="186"/>
      <c r="E104" s="168" t="s">
        <v>143</v>
      </c>
      <c r="F104" s="168" t="s">
        <v>97</v>
      </c>
      <c r="G104" s="168">
        <v>15</v>
      </c>
      <c r="H104" s="168">
        <v>0</v>
      </c>
      <c r="I104" s="170" t="s">
        <v>89</v>
      </c>
      <c r="J104" s="158">
        <v>116</v>
      </c>
      <c r="K104" s="168">
        <v>0</v>
      </c>
      <c r="L104" s="168">
        <v>0</v>
      </c>
      <c r="M104" s="168">
        <v>0</v>
      </c>
      <c r="N104" s="168">
        <v>0</v>
      </c>
      <c r="O104" s="168">
        <v>103</v>
      </c>
      <c r="P104" s="119">
        <v>76</v>
      </c>
      <c r="Q104" s="119">
        <v>27</v>
      </c>
      <c r="R104" s="120">
        <f t="shared" si="49"/>
        <v>103</v>
      </c>
      <c r="S104" s="171">
        <f t="shared" si="54"/>
        <v>0.8879310344827587</v>
      </c>
      <c r="T104" s="168">
        <v>0</v>
      </c>
      <c r="U104" s="168">
        <v>0</v>
      </c>
      <c r="V104" s="168">
        <v>0</v>
      </c>
      <c r="W104" s="168">
        <v>0</v>
      </c>
      <c r="X104" s="168">
        <v>13</v>
      </c>
      <c r="Y104" s="119">
        <v>9</v>
      </c>
      <c r="Z104" s="119">
        <v>4</v>
      </c>
      <c r="AA104" s="183">
        <f t="shared" si="50"/>
        <v>13</v>
      </c>
      <c r="AB104" s="172">
        <f t="shared" si="53"/>
        <v>0.11206896551724138</v>
      </c>
      <c r="AC104" s="168">
        <v>0</v>
      </c>
      <c r="AD104" s="168">
        <v>0</v>
      </c>
      <c r="AE104" s="168">
        <v>0</v>
      </c>
      <c r="AF104" s="168">
        <v>0</v>
      </c>
      <c r="AG104" s="168">
        <v>0</v>
      </c>
      <c r="AH104" s="174">
        <v>0</v>
      </c>
      <c r="AI104" s="174">
        <v>0</v>
      </c>
      <c r="AJ104" s="183">
        <f t="shared" si="51"/>
        <v>0</v>
      </c>
      <c r="AK104" s="172">
        <f t="shared" si="52"/>
        <v>0</v>
      </c>
    </row>
    <row r="105" spans="1:37" s="175" customFormat="1" ht="45" hidden="1" outlineLevel="1">
      <c r="A105" s="165"/>
      <c r="B105" s="187" t="s">
        <v>184</v>
      </c>
      <c r="C105" s="185"/>
      <c r="D105" s="186"/>
      <c r="E105" s="168" t="s">
        <v>143</v>
      </c>
      <c r="F105" s="168" t="s">
        <v>129</v>
      </c>
      <c r="G105" s="168">
        <v>7</v>
      </c>
      <c r="H105" s="168">
        <v>0</v>
      </c>
      <c r="I105" s="170" t="s">
        <v>85</v>
      </c>
      <c r="J105" s="158">
        <v>10</v>
      </c>
      <c r="K105" s="168">
        <v>10</v>
      </c>
      <c r="L105" s="168">
        <v>0</v>
      </c>
      <c r="M105" s="168">
        <v>0</v>
      </c>
      <c r="N105" s="168">
        <v>0</v>
      </c>
      <c r="O105" s="168">
        <v>0</v>
      </c>
      <c r="P105" s="119">
        <v>2</v>
      </c>
      <c r="Q105" s="119">
        <v>8</v>
      </c>
      <c r="R105" s="120">
        <f t="shared" si="49"/>
        <v>10</v>
      </c>
      <c r="S105" s="171">
        <f t="shared" si="54"/>
        <v>1</v>
      </c>
      <c r="T105" s="168">
        <v>0</v>
      </c>
      <c r="U105" s="168">
        <v>0</v>
      </c>
      <c r="V105" s="168">
        <v>0</v>
      </c>
      <c r="W105" s="168">
        <v>0</v>
      </c>
      <c r="X105" s="168">
        <v>0</v>
      </c>
      <c r="Y105" s="119">
        <v>0</v>
      </c>
      <c r="Z105" s="119">
        <v>0</v>
      </c>
      <c r="AA105" s="183">
        <f t="shared" si="50"/>
        <v>0</v>
      </c>
      <c r="AB105" s="172">
        <f t="shared" si="53"/>
        <v>0</v>
      </c>
      <c r="AC105" s="168">
        <v>0</v>
      </c>
      <c r="AD105" s="168">
        <v>0</v>
      </c>
      <c r="AE105" s="168">
        <v>0</v>
      </c>
      <c r="AF105" s="168">
        <v>0</v>
      </c>
      <c r="AG105" s="168">
        <v>0</v>
      </c>
      <c r="AH105" s="174">
        <v>0</v>
      </c>
      <c r="AI105" s="174">
        <v>0</v>
      </c>
      <c r="AJ105" s="183">
        <f t="shared" si="51"/>
        <v>0</v>
      </c>
      <c r="AK105" s="172">
        <f t="shared" si="52"/>
        <v>0</v>
      </c>
    </row>
    <row r="106" spans="1:37" s="175" customFormat="1" ht="45" hidden="1" outlineLevel="1">
      <c r="A106" s="165"/>
      <c r="B106" s="187" t="s">
        <v>185</v>
      </c>
      <c r="C106" s="185"/>
      <c r="D106" s="186"/>
      <c r="E106" s="168" t="s">
        <v>143</v>
      </c>
      <c r="F106" s="168" t="s">
        <v>97</v>
      </c>
      <c r="G106" s="168">
        <v>14</v>
      </c>
      <c r="H106" s="168">
        <v>0</v>
      </c>
      <c r="I106" s="170" t="s">
        <v>85</v>
      </c>
      <c r="J106" s="158">
        <v>12</v>
      </c>
      <c r="K106" s="168">
        <v>0</v>
      </c>
      <c r="L106" s="168">
        <v>0</v>
      </c>
      <c r="M106" s="168">
        <v>0</v>
      </c>
      <c r="N106" s="168">
        <v>0</v>
      </c>
      <c r="O106" s="168">
        <v>12</v>
      </c>
      <c r="P106" s="119">
        <v>8</v>
      </c>
      <c r="Q106" s="119">
        <v>4</v>
      </c>
      <c r="R106" s="120">
        <f t="shared" si="49"/>
        <v>12</v>
      </c>
      <c r="S106" s="171">
        <f t="shared" si="54"/>
        <v>1</v>
      </c>
      <c r="T106" s="168">
        <v>0</v>
      </c>
      <c r="U106" s="168">
        <v>0</v>
      </c>
      <c r="V106" s="168">
        <v>0</v>
      </c>
      <c r="W106" s="168">
        <v>0</v>
      </c>
      <c r="X106" s="168">
        <v>0</v>
      </c>
      <c r="Y106" s="119">
        <v>0</v>
      </c>
      <c r="Z106" s="119">
        <v>0</v>
      </c>
      <c r="AA106" s="183">
        <f t="shared" si="50"/>
        <v>0</v>
      </c>
      <c r="AB106" s="172">
        <f t="shared" si="53"/>
        <v>0</v>
      </c>
      <c r="AC106" s="168">
        <v>0</v>
      </c>
      <c r="AD106" s="168">
        <v>0</v>
      </c>
      <c r="AE106" s="168">
        <v>0</v>
      </c>
      <c r="AF106" s="168">
        <v>0</v>
      </c>
      <c r="AG106" s="168">
        <v>0</v>
      </c>
      <c r="AH106" s="174">
        <v>0</v>
      </c>
      <c r="AI106" s="174">
        <v>0</v>
      </c>
      <c r="AJ106" s="183">
        <f t="shared" si="51"/>
        <v>0</v>
      </c>
      <c r="AK106" s="172">
        <f t="shared" si="52"/>
        <v>0</v>
      </c>
    </row>
    <row r="107" spans="1:37" s="175" customFormat="1" ht="45" hidden="1" outlineLevel="1">
      <c r="A107" s="165"/>
      <c r="B107" s="187" t="s">
        <v>186</v>
      </c>
      <c r="C107" s="185"/>
      <c r="D107" s="186"/>
      <c r="E107" s="168" t="s">
        <v>143</v>
      </c>
      <c r="F107" s="168" t="s">
        <v>97</v>
      </c>
      <c r="G107" s="168">
        <v>7</v>
      </c>
      <c r="H107" s="168">
        <v>0</v>
      </c>
      <c r="I107" s="170" t="s">
        <v>85</v>
      </c>
      <c r="J107" s="158">
        <v>60</v>
      </c>
      <c r="K107" s="168">
        <v>17</v>
      </c>
      <c r="L107" s="168">
        <v>0</v>
      </c>
      <c r="M107" s="168">
        <v>0</v>
      </c>
      <c r="N107" s="168">
        <v>0</v>
      </c>
      <c r="O107" s="168">
        <v>0</v>
      </c>
      <c r="P107" s="119">
        <v>9</v>
      </c>
      <c r="Q107" s="119">
        <v>8</v>
      </c>
      <c r="R107" s="120">
        <f t="shared" si="49"/>
        <v>17</v>
      </c>
      <c r="S107" s="171">
        <f t="shared" si="54"/>
        <v>0.2833333333333333</v>
      </c>
      <c r="T107" s="168">
        <v>43</v>
      </c>
      <c r="U107" s="168">
        <v>0</v>
      </c>
      <c r="V107" s="168">
        <v>0</v>
      </c>
      <c r="W107" s="168">
        <v>0</v>
      </c>
      <c r="X107" s="168">
        <v>0</v>
      </c>
      <c r="Y107" s="119">
        <v>20</v>
      </c>
      <c r="Z107" s="119">
        <v>23</v>
      </c>
      <c r="AA107" s="183">
        <f t="shared" si="50"/>
        <v>43</v>
      </c>
      <c r="AB107" s="172">
        <f t="shared" si="53"/>
        <v>0.7166666666666667</v>
      </c>
      <c r="AC107" s="168">
        <v>0</v>
      </c>
      <c r="AD107" s="168">
        <v>0</v>
      </c>
      <c r="AE107" s="168">
        <v>0</v>
      </c>
      <c r="AF107" s="168">
        <v>0</v>
      </c>
      <c r="AG107" s="168">
        <v>0</v>
      </c>
      <c r="AH107" s="174">
        <v>0</v>
      </c>
      <c r="AI107" s="174">
        <v>0</v>
      </c>
      <c r="AJ107" s="183">
        <f t="shared" si="51"/>
        <v>0</v>
      </c>
      <c r="AK107" s="172">
        <f t="shared" si="52"/>
        <v>0</v>
      </c>
    </row>
    <row r="108" spans="1:37" s="175" customFormat="1" ht="45" hidden="1" outlineLevel="1">
      <c r="A108" s="165"/>
      <c r="B108" s="187" t="s">
        <v>187</v>
      </c>
      <c r="C108" s="185"/>
      <c r="D108" s="186"/>
      <c r="E108" s="168" t="s">
        <v>143</v>
      </c>
      <c r="F108" s="168" t="s">
        <v>97</v>
      </c>
      <c r="G108" s="168">
        <v>14</v>
      </c>
      <c r="H108" s="168">
        <v>0</v>
      </c>
      <c r="I108" s="170" t="s">
        <v>85</v>
      </c>
      <c r="J108" s="158">
        <v>14</v>
      </c>
      <c r="K108" s="168">
        <v>12</v>
      </c>
      <c r="L108" s="168">
        <v>0</v>
      </c>
      <c r="M108" s="168">
        <v>0</v>
      </c>
      <c r="N108" s="168">
        <v>2</v>
      </c>
      <c r="O108" s="168">
        <v>0</v>
      </c>
      <c r="P108" s="119">
        <v>6</v>
      </c>
      <c r="Q108" s="119">
        <v>8</v>
      </c>
      <c r="R108" s="120">
        <f t="shared" si="49"/>
        <v>14</v>
      </c>
      <c r="S108" s="171">
        <f t="shared" si="54"/>
        <v>1</v>
      </c>
      <c r="T108" s="168">
        <v>0</v>
      </c>
      <c r="U108" s="168">
        <v>0</v>
      </c>
      <c r="V108" s="168">
        <v>0</v>
      </c>
      <c r="W108" s="168">
        <v>0</v>
      </c>
      <c r="X108" s="168">
        <v>0</v>
      </c>
      <c r="Y108" s="119">
        <v>0</v>
      </c>
      <c r="Z108" s="119">
        <v>0</v>
      </c>
      <c r="AA108" s="183">
        <f t="shared" si="50"/>
        <v>0</v>
      </c>
      <c r="AB108" s="172">
        <f t="shared" si="53"/>
        <v>0</v>
      </c>
      <c r="AC108" s="168">
        <v>0</v>
      </c>
      <c r="AD108" s="168">
        <v>0</v>
      </c>
      <c r="AE108" s="168">
        <v>0</v>
      </c>
      <c r="AF108" s="168">
        <v>0</v>
      </c>
      <c r="AG108" s="168">
        <v>0</v>
      </c>
      <c r="AH108" s="174">
        <v>0</v>
      </c>
      <c r="AI108" s="174">
        <v>0</v>
      </c>
      <c r="AJ108" s="183">
        <f t="shared" si="51"/>
        <v>0</v>
      </c>
      <c r="AK108" s="172">
        <f t="shared" si="52"/>
        <v>0</v>
      </c>
    </row>
    <row r="109" spans="1:37" s="175" customFormat="1" ht="45" hidden="1" outlineLevel="1">
      <c r="A109" s="165"/>
      <c r="B109" s="187" t="s">
        <v>188</v>
      </c>
      <c r="C109" s="185"/>
      <c r="D109" s="186"/>
      <c r="E109" s="168" t="s">
        <v>143</v>
      </c>
      <c r="F109" s="168" t="s">
        <v>97</v>
      </c>
      <c r="G109" s="168">
        <v>7</v>
      </c>
      <c r="H109" s="168">
        <v>0</v>
      </c>
      <c r="I109" s="170" t="s">
        <v>85</v>
      </c>
      <c r="J109" s="158">
        <v>28</v>
      </c>
      <c r="K109" s="168">
        <v>17</v>
      </c>
      <c r="L109" s="168">
        <v>0</v>
      </c>
      <c r="M109" s="168">
        <v>0</v>
      </c>
      <c r="N109" s="168">
        <v>0</v>
      </c>
      <c r="O109" s="168">
        <v>5</v>
      </c>
      <c r="P109" s="119">
        <v>14</v>
      </c>
      <c r="Q109" s="119">
        <v>8</v>
      </c>
      <c r="R109" s="120">
        <f t="shared" si="49"/>
        <v>22</v>
      </c>
      <c r="S109" s="171">
        <f t="shared" si="54"/>
        <v>0.7857142857142857</v>
      </c>
      <c r="T109" s="168">
        <v>6</v>
      </c>
      <c r="U109" s="168">
        <v>0</v>
      </c>
      <c r="V109" s="168">
        <v>0</v>
      </c>
      <c r="W109" s="168">
        <v>0</v>
      </c>
      <c r="X109" s="168">
        <v>0</v>
      </c>
      <c r="Y109" s="119">
        <v>4</v>
      </c>
      <c r="Z109" s="119">
        <v>2</v>
      </c>
      <c r="AA109" s="183">
        <f t="shared" si="50"/>
        <v>6</v>
      </c>
      <c r="AB109" s="172">
        <f t="shared" si="53"/>
        <v>0.21428571428571427</v>
      </c>
      <c r="AC109" s="168">
        <v>0</v>
      </c>
      <c r="AD109" s="168">
        <v>0</v>
      </c>
      <c r="AE109" s="168">
        <v>0</v>
      </c>
      <c r="AF109" s="168">
        <v>0</v>
      </c>
      <c r="AG109" s="168">
        <v>0</v>
      </c>
      <c r="AH109" s="174">
        <v>0</v>
      </c>
      <c r="AI109" s="174">
        <v>0</v>
      </c>
      <c r="AJ109" s="183">
        <f t="shared" si="51"/>
        <v>0</v>
      </c>
      <c r="AK109" s="172">
        <f t="shared" si="52"/>
        <v>0</v>
      </c>
    </row>
    <row r="110" spans="1:37" s="175" customFormat="1" ht="45" hidden="1" outlineLevel="1">
      <c r="A110" s="165"/>
      <c r="B110" s="187" t="s">
        <v>189</v>
      </c>
      <c r="C110" s="185"/>
      <c r="D110" s="186"/>
      <c r="E110" s="168" t="s">
        <v>143</v>
      </c>
      <c r="F110" s="168" t="s">
        <v>97</v>
      </c>
      <c r="G110" s="168">
        <v>7</v>
      </c>
      <c r="H110" s="168">
        <v>0</v>
      </c>
      <c r="I110" s="170" t="s">
        <v>85</v>
      </c>
      <c r="J110" s="158">
        <v>28</v>
      </c>
      <c r="K110" s="168">
        <v>19</v>
      </c>
      <c r="L110" s="168">
        <v>0</v>
      </c>
      <c r="M110" s="168">
        <v>0</v>
      </c>
      <c r="N110" s="168">
        <v>0</v>
      </c>
      <c r="O110" s="168">
        <v>0</v>
      </c>
      <c r="P110" s="119">
        <v>9</v>
      </c>
      <c r="Q110" s="119">
        <v>10</v>
      </c>
      <c r="R110" s="120">
        <f t="shared" si="49"/>
        <v>19</v>
      </c>
      <c r="S110" s="171">
        <f t="shared" si="54"/>
        <v>0.6785714285714286</v>
      </c>
      <c r="T110" s="168">
        <v>9</v>
      </c>
      <c r="U110" s="168">
        <v>0</v>
      </c>
      <c r="V110" s="168">
        <v>0</v>
      </c>
      <c r="W110" s="168">
        <v>0</v>
      </c>
      <c r="X110" s="168">
        <v>0</v>
      </c>
      <c r="Y110" s="119">
        <v>6</v>
      </c>
      <c r="Z110" s="119">
        <v>3</v>
      </c>
      <c r="AA110" s="183">
        <f t="shared" si="50"/>
        <v>9</v>
      </c>
      <c r="AB110" s="172">
        <f t="shared" si="53"/>
        <v>0.32142857142857145</v>
      </c>
      <c r="AC110" s="168">
        <v>0</v>
      </c>
      <c r="AD110" s="168">
        <v>0</v>
      </c>
      <c r="AE110" s="168">
        <v>0</v>
      </c>
      <c r="AF110" s="168">
        <v>0</v>
      </c>
      <c r="AG110" s="168">
        <v>0</v>
      </c>
      <c r="AH110" s="174">
        <v>0</v>
      </c>
      <c r="AI110" s="174">
        <v>0</v>
      </c>
      <c r="AJ110" s="183">
        <f t="shared" si="51"/>
        <v>0</v>
      </c>
      <c r="AK110" s="172">
        <f t="shared" si="52"/>
        <v>0</v>
      </c>
    </row>
    <row r="111" spans="1:37" s="175" customFormat="1" ht="45" hidden="1" outlineLevel="1">
      <c r="A111" s="165"/>
      <c r="B111" s="187" t="s">
        <v>190</v>
      </c>
      <c r="C111" s="185"/>
      <c r="D111" s="186"/>
      <c r="E111" s="168" t="s">
        <v>143</v>
      </c>
      <c r="F111" s="168" t="s">
        <v>93</v>
      </c>
      <c r="G111" s="168">
        <v>7</v>
      </c>
      <c r="H111" s="168">
        <v>0</v>
      </c>
      <c r="I111" s="170" t="s">
        <v>83</v>
      </c>
      <c r="J111" s="158">
        <v>46</v>
      </c>
      <c r="K111" s="168">
        <v>14</v>
      </c>
      <c r="L111" s="168">
        <v>0</v>
      </c>
      <c r="M111" s="168">
        <v>0</v>
      </c>
      <c r="N111" s="168">
        <v>0</v>
      </c>
      <c r="O111" s="168">
        <v>21</v>
      </c>
      <c r="P111" s="119">
        <v>24</v>
      </c>
      <c r="Q111" s="119">
        <v>11</v>
      </c>
      <c r="R111" s="120">
        <f t="shared" si="49"/>
        <v>35</v>
      </c>
      <c r="S111" s="171">
        <f t="shared" si="54"/>
        <v>0.7608695652173914</v>
      </c>
      <c r="T111" s="168">
        <v>6</v>
      </c>
      <c r="U111" s="168">
        <v>0</v>
      </c>
      <c r="V111" s="168">
        <v>0</v>
      </c>
      <c r="W111" s="168">
        <v>0</v>
      </c>
      <c r="X111" s="168">
        <v>5</v>
      </c>
      <c r="Y111" s="119">
        <v>4</v>
      </c>
      <c r="Z111" s="119">
        <v>7</v>
      </c>
      <c r="AA111" s="183">
        <f t="shared" si="50"/>
        <v>11</v>
      </c>
      <c r="AB111" s="172">
        <f t="shared" si="53"/>
        <v>0.2391304347826087</v>
      </c>
      <c r="AC111" s="168">
        <v>0</v>
      </c>
      <c r="AD111" s="168">
        <v>0</v>
      </c>
      <c r="AE111" s="168">
        <v>0</v>
      </c>
      <c r="AF111" s="168">
        <v>0</v>
      </c>
      <c r="AG111" s="168">
        <v>0</v>
      </c>
      <c r="AH111" s="174">
        <v>0</v>
      </c>
      <c r="AI111" s="174">
        <v>0</v>
      </c>
      <c r="AJ111" s="183">
        <f t="shared" si="51"/>
        <v>0</v>
      </c>
      <c r="AK111" s="172">
        <f t="shared" si="52"/>
        <v>0</v>
      </c>
    </row>
    <row r="112" spans="1:37" s="175" customFormat="1" ht="45" hidden="1" outlineLevel="1">
      <c r="A112" s="165"/>
      <c r="B112" s="187" t="s">
        <v>191</v>
      </c>
      <c r="C112" s="185"/>
      <c r="D112" s="186"/>
      <c r="E112" s="168" t="s">
        <v>143</v>
      </c>
      <c r="F112" s="168" t="s">
        <v>93</v>
      </c>
      <c r="G112" s="168">
        <v>21</v>
      </c>
      <c r="H112" s="168">
        <v>0</v>
      </c>
      <c r="I112" s="170" t="s">
        <v>83</v>
      </c>
      <c r="J112" s="158">
        <v>20</v>
      </c>
      <c r="K112" s="168">
        <v>20</v>
      </c>
      <c r="L112" s="168">
        <v>0</v>
      </c>
      <c r="M112" s="168">
        <v>0</v>
      </c>
      <c r="N112" s="168">
        <v>0</v>
      </c>
      <c r="O112" s="168">
        <v>0</v>
      </c>
      <c r="P112" s="119">
        <v>9</v>
      </c>
      <c r="Q112" s="119">
        <v>11</v>
      </c>
      <c r="R112" s="120">
        <f t="shared" si="49"/>
        <v>20</v>
      </c>
      <c r="S112" s="171">
        <f t="shared" si="54"/>
        <v>1</v>
      </c>
      <c r="T112" s="168">
        <v>0</v>
      </c>
      <c r="U112" s="168">
        <v>0</v>
      </c>
      <c r="V112" s="168">
        <v>0</v>
      </c>
      <c r="W112" s="168">
        <v>0</v>
      </c>
      <c r="X112" s="168">
        <v>0</v>
      </c>
      <c r="Y112" s="119">
        <v>0</v>
      </c>
      <c r="Z112" s="119">
        <v>0</v>
      </c>
      <c r="AA112" s="183">
        <f t="shared" si="50"/>
        <v>0</v>
      </c>
      <c r="AB112" s="172">
        <f t="shared" si="53"/>
        <v>0</v>
      </c>
      <c r="AC112" s="168">
        <v>0</v>
      </c>
      <c r="AD112" s="168">
        <v>0</v>
      </c>
      <c r="AE112" s="168">
        <v>0</v>
      </c>
      <c r="AF112" s="168">
        <v>0</v>
      </c>
      <c r="AG112" s="168">
        <v>0</v>
      </c>
      <c r="AH112" s="174">
        <v>0</v>
      </c>
      <c r="AI112" s="174">
        <v>0</v>
      </c>
      <c r="AJ112" s="183">
        <f t="shared" si="51"/>
        <v>0</v>
      </c>
      <c r="AK112" s="172">
        <f t="shared" si="52"/>
        <v>0</v>
      </c>
    </row>
    <row r="113" spans="1:37" s="175" customFormat="1" ht="45" hidden="1" outlineLevel="1">
      <c r="A113" s="165"/>
      <c r="B113" s="187" t="s">
        <v>192</v>
      </c>
      <c r="C113" s="185"/>
      <c r="D113" s="186"/>
      <c r="E113" s="168" t="s">
        <v>143</v>
      </c>
      <c r="F113" s="168" t="s">
        <v>97</v>
      </c>
      <c r="G113" s="168">
        <v>14</v>
      </c>
      <c r="H113" s="168">
        <v>0</v>
      </c>
      <c r="I113" s="170" t="s">
        <v>78</v>
      </c>
      <c r="J113" s="158">
        <v>29</v>
      </c>
      <c r="K113" s="168">
        <v>9</v>
      </c>
      <c r="L113" s="168">
        <v>5</v>
      </c>
      <c r="M113" s="168">
        <v>0</v>
      </c>
      <c r="N113" s="168">
        <v>15</v>
      </c>
      <c r="O113" s="168">
        <v>0</v>
      </c>
      <c r="P113" s="119">
        <v>14</v>
      </c>
      <c r="Q113" s="119">
        <v>15</v>
      </c>
      <c r="R113" s="120">
        <f t="shared" si="49"/>
        <v>29</v>
      </c>
      <c r="S113" s="171">
        <f t="shared" si="54"/>
        <v>1</v>
      </c>
      <c r="T113" s="168">
        <v>0</v>
      </c>
      <c r="U113" s="168">
        <v>0</v>
      </c>
      <c r="V113" s="168">
        <v>0</v>
      </c>
      <c r="W113" s="168">
        <v>0</v>
      </c>
      <c r="X113" s="168">
        <v>0</v>
      </c>
      <c r="Y113" s="119">
        <v>0</v>
      </c>
      <c r="Z113" s="119">
        <v>0</v>
      </c>
      <c r="AA113" s="183">
        <f t="shared" si="50"/>
        <v>0</v>
      </c>
      <c r="AB113" s="172">
        <f t="shared" si="53"/>
        <v>0</v>
      </c>
      <c r="AC113" s="168">
        <v>0</v>
      </c>
      <c r="AD113" s="168">
        <v>0</v>
      </c>
      <c r="AE113" s="168">
        <v>0</v>
      </c>
      <c r="AF113" s="168">
        <v>0</v>
      </c>
      <c r="AG113" s="168">
        <v>0</v>
      </c>
      <c r="AH113" s="174">
        <v>0</v>
      </c>
      <c r="AI113" s="174">
        <v>0</v>
      </c>
      <c r="AJ113" s="183">
        <f t="shared" si="51"/>
        <v>0</v>
      </c>
      <c r="AK113" s="172">
        <f t="shared" si="52"/>
        <v>0</v>
      </c>
    </row>
    <row r="114" spans="1:37" s="175" customFormat="1" ht="45" hidden="1" outlineLevel="1">
      <c r="A114" s="165"/>
      <c r="B114" s="187" t="s">
        <v>193</v>
      </c>
      <c r="C114" s="185"/>
      <c r="D114" s="186"/>
      <c r="E114" s="168" t="s">
        <v>143</v>
      </c>
      <c r="F114" s="168" t="s">
        <v>93</v>
      </c>
      <c r="G114" s="168">
        <v>7</v>
      </c>
      <c r="H114" s="168">
        <v>0</v>
      </c>
      <c r="I114" s="170" t="s">
        <v>78</v>
      </c>
      <c r="J114" s="158">
        <v>30</v>
      </c>
      <c r="K114" s="168">
        <v>18</v>
      </c>
      <c r="L114" s="168">
        <v>0</v>
      </c>
      <c r="M114" s="168">
        <v>0</v>
      </c>
      <c r="N114" s="168">
        <v>0</v>
      </c>
      <c r="O114" s="168">
        <v>0</v>
      </c>
      <c r="P114" s="119">
        <v>13</v>
      </c>
      <c r="Q114" s="119">
        <v>5</v>
      </c>
      <c r="R114" s="120">
        <f t="shared" si="49"/>
        <v>18</v>
      </c>
      <c r="S114" s="171">
        <f t="shared" si="54"/>
        <v>0.6</v>
      </c>
      <c r="T114" s="168">
        <v>12</v>
      </c>
      <c r="U114" s="168">
        <v>0</v>
      </c>
      <c r="V114" s="168">
        <v>0</v>
      </c>
      <c r="W114" s="168">
        <v>0</v>
      </c>
      <c r="X114" s="168">
        <v>0</v>
      </c>
      <c r="Y114" s="119">
        <v>5</v>
      </c>
      <c r="Z114" s="119">
        <v>7</v>
      </c>
      <c r="AA114" s="183">
        <f t="shared" si="50"/>
        <v>12</v>
      </c>
      <c r="AB114" s="172">
        <f t="shared" si="53"/>
        <v>0.4</v>
      </c>
      <c r="AC114" s="168">
        <v>0</v>
      </c>
      <c r="AD114" s="168">
        <v>0</v>
      </c>
      <c r="AE114" s="168">
        <v>0</v>
      </c>
      <c r="AF114" s="168">
        <v>0</v>
      </c>
      <c r="AG114" s="168">
        <v>0</v>
      </c>
      <c r="AH114" s="174">
        <v>0</v>
      </c>
      <c r="AI114" s="174">
        <v>0</v>
      </c>
      <c r="AJ114" s="183">
        <f t="shared" si="51"/>
        <v>0</v>
      </c>
      <c r="AK114" s="172">
        <f t="shared" si="52"/>
        <v>0</v>
      </c>
    </row>
    <row r="115" spans="1:37" s="175" customFormat="1" ht="45" hidden="1" outlineLevel="1">
      <c r="A115" s="165"/>
      <c r="B115" s="187" t="s">
        <v>194</v>
      </c>
      <c r="C115" s="185"/>
      <c r="D115" s="186"/>
      <c r="E115" s="168" t="s">
        <v>143</v>
      </c>
      <c r="F115" s="168" t="s">
        <v>93</v>
      </c>
      <c r="G115" s="168">
        <v>6</v>
      </c>
      <c r="H115" s="168">
        <v>0</v>
      </c>
      <c r="I115" s="170" t="s">
        <v>78</v>
      </c>
      <c r="J115" s="158">
        <v>206</v>
      </c>
      <c r="K115" s="168">
        <v>24</v>
      </c>
      <c r="L115" s="168">
        <v>25</v>
      </c>
      <c r="M115" s="168">
        <v>58</v>
      </c>
      <c r="N115" s="168">
        <v>23</v>
      </c>
      <c r="O115" s="168">
        <v>1</v>
      </c>
      <c r="P115" s="119">
        <v>63</v>
      </c>
      <c r="Q115" s="119">
        <v>68</v>
      </c>
      <c r="R115" s="120">
        <f t="shared" si="49"/>
        <v>131</v>
      </c>
      <c r="S115" s="171">
        <f t="shared" si="54"/>
        <v>0.6359223300970874</v>
      </c>
      <c r="T115" s="168">
        <v>18</v>
      </c>
      <c r="U115" s="168">
        <v>13</v>
      </c>
      <c r="V115" s="168">
        <v>22</v>
      </c>
      <c r="W115" s="168">
        <v>18</v>
      </c>
      <c r="X115" s="168">
        <v>4</v>
      </c>
      <c r="Y115" s="119">
        <v>36</v>
      </c>
      <c r="Z115" s="119">
        <v>39</v>
      </c>
      <c r="AA115" s="183">
        <f t="shared" si="50"/>
        <v>75</v>
      </c>
      <c r="AB115" s="172">
        <f t="shared" si="53"/>
        <v>0.3640776699029126</v>
      </c>
      <c r="AC115" s="168">
        <v>0</v>
      </c>
      <c r="AD115" s="168">
        <v>0</v>
      </c>
      <c r="AE115" s="168">
        <v>0</v>
      </c>
      <c r="AF115" s="168">
        <v>0</v>
      </c>
      <c r="AG115" s="168">
        <v>0</v>
      </c>
      <c r="AH115" s="174">
        <v>0</v>
      </c>
      <c r="AI115" s="174">
        <v>0</v>
      </c>
      <c r="AJ115" s="183">
        <f t="shared" si="51"/>
        <v>0</v>
      </c>
      <c r="AK115" s="172">
        <f t="shared" si="52"/>
        <v>0</v>
      </c>
    </row>
    <row r="116" spans="1:37" s="175" customFormat="1" ht="45" hidden="1" outlineLevel="1">
      <c r="A116" s="165"/>
      <c r="B116" s="187" t="s">
        <v>195</v>
      </c>
      <c r="C116" s="185"/>
      <c r="D116" s="186"/>
      <c r="E116" s="168" t="s">
        <v>143</v>
      </c>
      <c r="F116" s="168" t="s">
        <v>93</v>
      </c>
      <c r="G116" s="168">
        <v>14</v>
      </c>
      <c r="H116" s="168">
        <v>0</v>
      </c>
      <c r="I116" s="170" t="s">
        <v>78</v>
      </c>
      <c r="J116" s="158">
        <v>46</v>
      </c>
      <c r="K116" s="168">
        <v>18</v>
      </c>
      <c r="L116" s="168">
        <v>9</v>
      </c>
      <c r="M116" s="168">
        <v>0</v>
      </c>
      <c r="N116" s="168">
        <v>9</v>
      </c>
      <c r="O116" s="168">
        <v>0</v>
      </c>
      <c r="P116" s="119">
        <v>15</v>
      </c>
      <c r="Q116" s="119">
        <v>21</v>
      </c>
      <c r="R116" s="120">
        <f t="shared" si="49"/>
        <v>36</v>
      </c>
      <c r="S116" s="171">
        <f t="shared" si="54"/>
        <v>0.782608695652174</v>
      </c>
      <c r="T116" s="168">
        <v>5</v>
      </c>
      <c r="U116" s="168">
        <v>1</v>
      </c>
      <c r="V116" s="168">
        <v>0</v>
      </c>
      <c r="W116" s="168">
        <v>4</v>
      </c>
      <c r="X116" s="168">
        <v>0</v>
      </c>
      <c r="Y116" s="119">
        <v>2</v>
      </c>
      <c r="Z116" s="119">
        <v>8</v>
      </c>
      <c r="AA116" s="183">
        <f t="shared" si="50"/>
        <v>10</v>
      </c>
      <c r="AB116" s="172">
        <f t="shared" si="53"/>
        <v>0.21739130434782608</v>
      </c>
      <c r="AC116" s="168">
        <v>0</v>
      </c>
      <c r="AD116" s="168">
        <v>0</v>
      </c>
      <c r="AE116" s="168">
        <v>0</v>
      </c>
      <c r="AF116" s="168">
        <v>0</v>
      </c>
      <c r="AG116" s="168">
        <v>0</v>
      </c>
      <c r="AH116" s="174">
        <v>0</v>
      </c>
      <c r="AI116" s="174">
        <v>0</v>
      </c>
      <c r="AJ116" s="183">
        <f t="shared" si="51"/>
        <v>0</v>
      </c>
      <c r="AK116" s="172">
        <f t="shared" si="52"/>
        <v>0</v>
      </c>
    </row>
    <row r="117" spans="1:37" s="175" customFormat="1" ht="45" hidden="1" outlineLevel="1">
      <c r="A117" s="165"/>
      <c r="B117" s="187" t="s">
        <v>196</v>
      </c>
      <c r="C117" s="185"/>
      <c r="D117" s="186"/>
      <c r="E117" s="168" t="s">
        <v>143</v>
      </c>
      <c r="F117" s="168" t="s">
        <v>93</v>
      </c>
      <c r="G117" s="168">
        <v>7</v>
      </c>
      <c r="H117" s="168">
        <v>0</v>
      </c>
      <c r="I117" s="170" t="s">
        <v>78</v>
      </c>
      <c r="J117" s="158">
        <v>36</v>
      </c>
      <c r="K117" s="168">
        <v>2</v>
      </c>
      <c r="L117" s="168">
        <v>0</v>
      </c>
      <c r="M117" s="168">
        <v>0</v>
      </c>
      <c r="N117" s="168">
        <v>34</v>
      </c>
      <c r="O117" s="168">
        <v>0</v>
      </c>
      <c r="P117" s="119">
        <v>11</v>
      </c>
      <c r="Q117" s="119">
        <v>25</v>
      </c>
      <c r="R117" s="120">
        <f t="shared" si="49"/>
        <v>36</v>
      </c>
      <c r="S117" s="171">
        <f t="shared" si="54"/>
        <v>1</v>
      </c>
      <c r="T117" s="168">
        <v>0</v>
      </c>
      <c r="U117" s="168">
        <v>0</v>
      </c>
      <c r="V117" s="168">
        <v>0</v>
      </c>
      <c r="W117" s="168">
        <v>0</v>
      </c>
      <c r="X117" s="168">
        <v>0</v>
      </c>
      <c r="Y117" s="119">
        <v>0</v>
      </c>
      <c r="Z117" s="119">
        <v>0</v>
      </c>
      <c r="AA117" s="183">
        <f t="shared" si="50"/>
        <v>0</v>
      </c>
      <c r="AB117" s="172">
        <f t="shared" si="53"/>
        <v>0</v>
      </c>
      <c r="AC117" s="168">
        <v>0</v>
      </c>
      <c r="AD117" s="168">
        <v>0</v>
      </c>
      <c r="AE117" s="168">
        <v>0</v>
      </c>
      <c r="AF117" s="168">
        <v>0</v>
      </c>
      <c r="AG117" s="168">
        <v>0</v>
      </c>
      <c r="AH117" s="174">
        <v>0</v>
      </c>
      <c r="AI117" s="174">
        <v>0</v>
      </c>
      <c r="AJ117" s="183">
        <f t="shared" si="51"/>
        <v>0</v>
      </c>
      <c r="AK117" s="172">
        <f t="shared" si="52"/>
        <v>0</v>
      </c>
    </row>
    <row r="118" spans="1:37" s="175" customFormat="1" ht="45" hidden="1" outlineLevel="1">
      <c r="A118" s="165"/>
      <c r="B118" s="187" t="s">
        <v>197</v>
      </c>
      <c r="C118" s="185"/>
      <c r="D118" s="186"/>
      <c r="E118" s="168" t="s">
        <v>143</v>
      </c>
      <c r="F118" s="168" t="s">
        <v>93</v>
      </c>
      <c r="G118" s="168">
        <v>7</v>
      </c>
      <c r="H118" s="168">
        <v>0</v>
      </c>
      <c r="I118" s="170" t="s">
        <v>78</v>
      </c>
      <c r="J118" s="158">
        <v>58</v>
      </c>
      <c r="K118" s="168">
        <v>28</v>
      </c>
      <c r="L118" s="168">
        <v>8</v>
      </c>
      <c r="M118" s="168">
        <v>0</v>
      </c>
      <c r="N118" s="168">
        <v>3</v>
      </c>
      <c r="O118" s="168">
        <v>0</v>
      </c>
      <c r="P118" s="119">
        <v>21</v>
      </c>
      <c r="Q118" s="119">
        <v>18</v>
      </c>
      <c r="R118" s="120">
        <f t="shared" si="49"/>
        <v>39</v>
      </c>
      <c r="S118" s="171">
        <f t="shared" si="54"/>
        <v>0.6724137931034483</v>
      </c>
      <c r="T118" s="168">
        <v>13</v>
      </c>
      <c r="U118" s="168">
        <v>0</v>
      </c>
      <c r="V118" s="168">
        <v>1</v>
      </c>
      <c r="W118" s="168">
        <v>4</v>
      </c>
      <c r="X118" s="168">
        <v>1</v>
      </c>
      <c r="Y118" s="119">
        <v>9</v>
      </c>
      <c r="Z118" s="119">
        <v>10</v>
      </c>
      <c r="AA118" s="183">
        <f t="shared" si="50"/>
        <v>19</v>
      </c>
      <c r="AB118" s="172">
        <f t="shared" si="53"/>
        <v>0.3275862068965517</v>
      </c>
      <c r="AC118" s="168">
        <v>0</v>
      </c>
      <c r="AD118" s="168">
        <v>0</v>
      </c>
      <c r="AE118" s="168">
        <v>0</v>
      </c>
      <c r="AF118" s="168">
        <v>0</v>
      </c>
      <c r="AG118" s="168">
        <v>0</v>
      </c>
      <c r="AH118" s="174">
        <v>0</v>
      </c>
      <c r="AI118" s="174">
        <v>0</v>
      </c>
      <c r="AJ118" s="183">
        <f t="shared" si="51"/>
        <v>0</v>
      </c>
      <c r="AK118" s="172">
        <f t="shared" si="52"/>
        <v>0</v>
      </c>
    </row>
    <row r="119" spans="1:37" s="175" customFormat="1" ht="45" hidden="1" outlineLevel="1">
      <c r="A119" s="165"/>
      <c r="B119" s="187" t="s">
        <v>198</v>
      </c>
      <c r="C119" s="185"/>
      <c r="D119" s="186"/>
      <c r="E119" s="168" t="s">
        <v>143</v>
      </c>
      <c r="F119" s="168" t="s">
        <v>93</v>
      </c>
      <c r="G119" s="168">
        <v>7</v>
      </c>
      <c r="H119" s="168">
        <v>0</v>
      </c>
      <c r="I119" s="170" t="s">
        <v>78</v>
      </c>
      <c r="J119" s="158">
        <v>86</v>
      </c>
      <c r="K119" s="168">
        <v>37</v>
      </c>
      <c r="L119" s="168">
        <v>18</v>
      </c>
      <c r="M119" s="168">
        <v>0</v>
      </c>
      <c r="N119" s="168">
        <v>11</v>
      </c>
      <c r="O119" s="168">
        <v>3</v>
      </c>
      <c r="P119" s="119">
        <v>40</v>
      </c>
      <c r="Q119" s="119">
        <v>29</v>
      </c>
      <c r="R119" s="120">
        <f t="shared" si="49"/>
        <v>69</v>
      </c>
      <c r="S119" s="171">
        <f t="shared" si="54"/>
        <v>0.8023255813953488</v>
      </c>
      <c r="T119" s="168">
        <v>6</v>
      </c>
      <c r="U119" s="168">
        <v>1</v>
      </c>
      <c r="V119" s="168">
        <v>1</v>
      </c>
      <c r="W119" s="168">
        <v>8</v>
      </c>
      <c r="X119" s="168">
        <v>1</v>
      </c>
      <c r="Y119" s="119">
        <v>10</v>
      </c>
      <c r="Z119" s="119">
        <v>7</v>
      </c>
      <c r="AA119" s="183">
        <f t="shared" si="50"/>
        <v>17</v>
      </c>
      <c r="AB119" s="172">
        <f t="shared" si="53"/>
        <v>0.19767441860465115</v>
      </c>
      <c r="AC119" s="168">
        <v>0</v>
      </c>
      <c r="AD119" s="168">
        <v>0</v>
      </c>
      <c r="AE119" s="168">
        <v>0</v>
      </c>
      <c r="AF119" s="168">
        <v>0</v>
      </c>
      <c r="AG119" s="168">
        <v>0</v>
      </c>
      <c r="AH119" s="174">
        <v>0</v>
      </c>
      <c r="AI119" s="174">
        <v>0</v>
      </c>
      <c r="AJ119" s="183">
        <f t="shared" si="51"/>
        <v>0</v>
      </c>
      <c r="AK119" s="172">
        <f t="shared" si="52"/>
        <v>0</v>
      </c>
    </row>
    <row r="120" spans="1:37" s="175" customFormat="1" ht="45" hidden="1" outlineLevel="1">
      <c r="A120" s="165"/>
      <c r="B120" s="187" t="s">
        <v>199</v>
      </c>
      <c r="C120" s="185"/>
      <c r="D120" s="186"/>
      <c r="E120" s="168" t="s">
        <v>143</v>
      </c>
      <c r="F120" s="168" t="s">
        <v>93</v>
      </c>
      <c r="G120" s="168">
        <v>7</v>
      </c>
      <c r="H120" s="168">
        <v>0</v>
      </c>
      <c r="I120" s="170" t="s">
        <v>78</v>
      </c>
      <c r="J120" s="158">
        <v>44</v>
      </c>
      <c r="K120" s="168">
        <v>20</v>
      </c>
      <c r="L120" s="168">
        <v>14</v>
      </c>
      <c r="M120" s="168">
        <v>0</v>
      </c>
      <c r="N120" s="168">
        <v>9</v>
      </c>
      <c r="O120" s="168">
        <v>0</v>
      </c>
      <c r="P120" s="119">
        <v>25</v>
      </c>
      <c r="Q120" s="119">
        <v>18</v>
      </c>
      <c r="R120" s="120">
        <f t="shared" si="49"/>
        <v>43</v>
      </c>
      <c r="S120" s="171">
        <f t="shared" si="54"/>
        <v>0.9772727272727273</v>
      </c>
      <c r="T120" s="168">
        <v>0</v>
      </c>
      <c r="U120" s="168">
        <v>0</v>
      </c>
      <c r="V120" s="168">
        <v>0</v>
      </c>
      <c r="W120" s="168">
        <v>1</v>
      </c>
      <c r="X120" s="168">
        <v>0</v>
      </c>
      <c r="Y120" s="119">
        <v>1</v>
      </c>
      <c r="Z120" s="119">
        <v>0</v>
      </c>
      <c r="AA120" s="183">
        <f t="shared" si="50"/>
        <v>1</v>
      </c>
      <c r="AB120" s="172">
        <f t="shared" si="53"/>
        <v>0.022727272727272728</v>
      </c>
      <c r="AC120" s="168">
        <v>0</v>
      </c>
      <c r="AD120" s="168">
        <v>0</v>
      </c>
      <c r="AE120" s="168">
        <v>0</v>
      </c>
      <c r="AF120" s="168">
        <v>0</v>
      </c>
      <c r="AG120" s="168">
        <v>0</v>
      </c>
      <c r="AH120" s="174">
        <v>0</v>
      </c>
      <c r="AI120" s="174">
        <v>0</v>
      </c>
      <c r="AJ120" s="183">
        <f t="shared" si="51"/>
        <v>0</v>
      </c>
      <c r="AK120" s="172">
        <f t="shared" si="52"/>
        <v>0</v>
      </c>
    </row>
    <row r="121" spans="1:37" s="175" customFormat="1" ht="45" hidden="1" outlineLevel="1">
      <c r="A121" s="165"/>
      <c r="B121" s="187" t="s">
        <v>200</v>
      </c>
      <c r="C121" s="185"/>
      <c r="D121" s="186"/>
      <c r="E121" s="168" t="s">
        <v>143</v>
      </c>
      <c r="F121" s="168" t="s">
        <v>93</v>
      </c>
      <c r="G121" s="168">
        <v>70</v>
      </c>
      <c r="H121" s="168">
        <v>0</v>
      </c>
      <c r="I121" s="170" t="s">
        <v>78</v>
      </c>
      <c r="J121" s="158">
        <v>36</v>
      </c>
      <c r="K121" s="168">
        <v>10</v>
      </c>
      <c r="L121" s="168">
        <v>2</v>
      </c>
      <c r="M121" s="168">
        <v>14</v>
      </c>
      <c r="N121" s="168">
        <v>2</v>
      </c>
      <c r="O121" s="168">
        <v>4</v>
      </c>
      <c r="P121" s="119">
        <v>25</v>
      </c>
      <c r="Q121" s="119">
        <v>7</v>
      </c>
      <c r="R121" s="120">
        <f t="shared" si="49"/>
        <v>32</v>
      </c>
      <c r="S121" s="171">
        <f t="shared" si="54"/>
        <v>0.8888888888888888</v>
      </c>
      <c r="T121" s="168">
        <v>0</v>
      </c>
      <c r="U121" s="168">
        <v>0</v>
      </c>
      <c r="V121" s="168">
        <v>4</v>
      </c>
      <c r="W121" s="168">
        <v>0</v>
      </c>
      <c r="X121" s="168">
        <v>0</v>
      </c>
      <c r="Y121" s="119">
        <v>4</v>
      </c>
      <c r="Z121" s="119">
        <v>0</v>
      </c>
      <c r="AA121" s="183">
        <f t="shared" si="50"/>
        <v>4</v>
      </c>
      <c r="AB121" s="172">
        <f t="shared" si="53"/>
        <v>0.1111111111111111</v>
      </c>
      <c r="AC121" s="168">
        <v>0</v>
      </c>
      <c r="AD121" s="168">
        <v>0</v>
      </c>
      <c r="AE121" s="168">
        <v>0</v>
      </c>
      <c r="AF121" s="168">
        <v>0</v>
      </c>
      <c r="AG121" s="168">
        <v>0</v>
      </c>
      <c r="AH121" s="174">
        <v>0</v>
      </c>
      <c r="AI121" s="174">
        <v>0</v>
      </c>
      <c r="AJ121" s="183">
        <f t="shared" si="51"/>
        <v>0</v>
      </c>
      <c r="AK121" s="172">
        <f t="shared" si="52"/>
        <v>0</v>
      </c>
    </row>
    <row r="122" spans="1:37" s="175" customFormat="1" ht="45" hidden="1" outlineLevel="1">
      <c r="A122" s="165"/>
      <c r="B122" s="187" t="s">
        <v>201</v>
      </c>
      <c r="C122" s="185"/>
      <c r="D122" s="186"/>
      <c r="E122" s="168" t="s">
        <v>143</v>
      </c>
      <c r="F122" s="168" t="s">
        <v>93</v>
      </c>
      <c r="G122" s="168">
        <v>7</v>
      </c>
      <c r="H122" s="168">
        <v>0</v>
      </c>
      <c r="I122" s="170" t="s">
        <v>78</v>
      </c>
      <c r="J122" s="158">
        <v>46</v>
      </c>
      <c r="K122" s="168">
        <v>20</v>
      </c>
      <c r="L122" s="168">
        <v>0</v>
      </c>
      <c r="M122" s="168">
        <v>0</v>
      </c>
      <c r="N122" s="168">
        <v>0</v>
      </c>
      <c r="O122" s="168">
        <v>0</v>
      </c>
      <c r="P122" s="119">
        <v>10</v>
      </c>
      <c r="Q122" s="119">
        <v>10</v>
      </c>
      <c r="R122" s="120">
        <f t="shared" si="49"/>
        <v>20</v>
      </c>
      <c r="S122" s="171">
        <f t="shared" si="54"/>
        <v>0.43478260869565216</v>
      </c>
      <c r="T122" s="168">
        <v>26</v>
      </c>
      <c r="U122" s="168">
        <v>0</v>
      </c>
      <c r="V122" s="168">
        <v>0</v>
      </c>
      <c r="W122" s="168">
        <v>0</v>
      </c>
      <c r="X122" s="168">
        <v>0</v>
      </c>
      <c r="Y122" s="119">
        <v>16</v>
      </c>
      <c r="Z122" s="119">
        <v>10</v>
      </c>
      <c r="AA122" s="183">
        <f t="shared" si="50"/>
        <v>26</v>
      </c>
      <c r="AB122" s="172">
        <f t="shared" si="53"/>
        <v>0.5652173913043478</v>
      </c>
      <c r="AC122" s="168">
        <v>0</v>
      </c>
      <c r="AD122" s="168">
        <v>0</v>
      </c>
      <c r="AE122" s="168">
        <v>0</v>
      </c>
      <c r="AF122" s="168">
        <v>0</v>
      </c>
      <c r="AG122" s="168">
        <v>0</v>
      </c>
      <c r="AH122" s="174">
        <v>0</v>
      </c>
      <c r="AI122" s="174">
        <v>0</v>
      </c>
      <c r="AJ122" s="183">
        <f t="shared" si="51"/>
        <v>0</v>
      </c>
      <c r="AK122" s="172">
        <f t="shared" si="52"/>
        <v>0</v>
      </c>
    </row>
    <row r="123" spans="1:37" s="125" customFormat="1" ht="19.5">
      <c r="A123" s="156"/>
      <c r="B123" s="117" t="s">
        <v>202</v>
      </c>
      <c r="C123" s="192"/>
      <c r="D123" s="193"/>
      <c r="E123" s="119"/>
      <c r="F123" s="119"/>
      <c r="G123" s="119">
        <f>+G124+G134</f>
        <v>1327</v>
      </c>
      <c r="H123" s="119">
        <f>+H124+H134</f>
        <v>895</v>
      </c>
      <c r="I123" s="157"/>
      <c r="J123" s="158">
        <f aca="true" t="shared" si="55" ref="J123:R123">+J124+J134</f>
        <v>3438</v>
      </c>
      <c r="K123" s="119">
        <f t="shared" si="55"/>
        <v>387</v>
      </c>
      <c r="L123" s="119">
        <f t="shared" si="55"/>
        <v>80</v>
      </c>
      <c r="M123" s="119">
        <f t="shared" si="55"/>
        <v>67</v>
      </c>
      <c r="N123" s="119">
        <f t="shared" si="55"/>
        <v>65</v>
      </c>
      <c r="O123" s="119">
        <f t="shared" si="55"/>
        <v>1832</v>
      </c>
      <c r="P123" s="119">
        <f t="shared" si="55"/>
        <v>1913</v>
      </c>
      <c r="Q123" s="119">
        <f t="shared" si="55"/>
        <v>518</v>
      </c>
      <c r="R123" s="158">
        <f t="shared" si="55"/>
        <v>2431</v>
      </c>
      <c r="S123" s="159">
        <f t="shared" si="54"/>
        <v>0.7070971495055265</v>
      </c>
      <c r="T123" s="119">
        <f aca="true" t="shared" si="56" ref="T123:AA123">+T124+T134</f>
        <v>303</v>
      </c>
      <c r="U123" s="119">
        <f t="shared" si="56"/>
        <v>30</v>
      </c>
      <c r="V123" s="119">
        <f t="shared" si="56"/>
        <v>43</v>
      </c>
      <c r="W123" s="119">
        <f t="shared" si="56"/>
        <v>17</v>
      </c>
      <c r="X123" s="119">
        <f t="shared" si="56"/>
        <v>412</v>
      </c>
      <c r="Y123" s="119">
        <f t="shared" si="56"/>
        <v>399</v>
      </c>
      <c r="Z123" s="119">
        <f t="shared" si="56"/>
        <v>212</v>
      </c>
      <c r="AA123" s="183">
        <f t="shared" si="56"/>
        <v>949</v>
      </c>
      <c r="AB123" s="160">
        <f t="shared" si="53"/>
        <v>0.27603257707969747</v>
      </c>
      <c r="AC123" s="119">
        <f aca="true" t="shared" si="57" ref="AC123:AJ123">+AC124+AC134</f>
        <v>9</v>
      </c>
      <c r="AD123" s="119">
        <f t="shared" si="57"/>
        <v>10</v>
      </c>
      <c r="AE123" s="119">
        <f t="shared" si="57"/>
        <v>0</v>
      </c>
      <c r="AF123" s="119">
        <f t="shared" si="57"/>
        <v>0</v>
      </c>
      <c r="AG123" s="119">
        <f t="shared" si="57"/>
        <v>39</v>
      </c>
      <c r="AH123" s="119">
        <f t="shared" si="57"/>
        <v>43</v>
      </c>
      <c r="AI123" s="119">
        <f t="shared" si="57"/>
        <v>13</v>
      </c>
      <c r="AJ123" s="183">
        <f t="shared" si="57"/>
        <v>58</v>
      </c>
      <c r="AK123" s="160">
        <f>+AJ123/R123</f>
        <v>0.02385849444672974</v>
      </c>
    </row>
    <row r="124" spans="2:37" s="161" customFormat="1" ht="16.5">
      <c r="B124" s="127" t="s">
        <v>74</v>
      </c>
      <c r="C124" s="162"/>
      <c r="D124" s="162"/>
      <c r="E124" s="163"/>
      <c r="F124" s="163"/>
      <c r="G124" s="163">
        <f>SUM(G125:G133)</f>
        <v>554</v>
      </c>
      <c r="H124" s="163">
        <f>SUM(H125:H133)</f>
        <v>895</v>
      </c>
      <c r="I124" s="164"/>
      <c r="J124" s="129">
        <f aca="true" t="shared" si="58" ref="J124:R124">SUM(J125:J133)</f>
        <v>312</v>
      </c>
      <c r="K124" s="129">
        <f t="shared" si="58"/>
        <v>72</v>
      </c>
      <c r="L124" s="129">
        <f t="shared" si="58"/>
        <v>21</v>
      </c>
      <c r="M124" s="129">
        <f t="shared" si="58"/>
        <v>2</v>
      </c>
      <c r="N124" s="129">
        <f t="shared" si="58"/>
        <v>1</v>
      </c>
      <c r="O124" s="129">
        <f t="shared" si="58"/>
        <v>56</v>
      </c>
      <c r="P124" s="129">
        <f t="shared" si="58"/>
        <v>89</v>
      </c>
      <c r="Q124" s="129">
        <f t="shared" si="58"/>
        <v>63</v>
      </c>
      <c r="R124" s="129">
        <f t="shared" si="58"/>
        <v>152</v>
      </c>
      <c r="S124" s="130">
        <f t="shared" si="54"/>
        <v>0.48717948717948717</v>
      </c>
      <c r="T124" s="129">
        <f aca="true" t="shared" si="59" ref="T124:AA124">SUM(T125:T133)</f>
        <v>31</v>
      </c>
      <c r="U124" s="129">
        <f t="shared" si="59"/>
        <v>10</v>
      </c>
      <c r="V124" s="129">
        <f t="shared" si="59"/>
        <v>0</v>
      </c>
      <c r="W124" s="129">
        <f t="shared" si="59"/>
        <v>4</v>
      </c>
      <c r="X124" s="129">
        <f t="shared" si="59"/>
        <v>57</v>
      </c>
      <c r="Y124" s="129">
        <f t="shared" si="59"/>
        <v>63</v>
      </c>
      <c r="Z124" s="129">
        <f t="shared" si="59"/>
        <v>39</v>
      </c>
      <c r="AA124" s="129">
        <f t="shared" si="59"/>
        <v>102</v>
      </c>
      <c r="AB124" s="130">
        <f t="shared" si="53"/>
        <v>0.3269230769230769</v>
      </c>
      <c r="AC124" s="129">
        <f aca="true" t="shared" si="60" ref="AC124:AJ124">SUM(AC125:AC133)</f>
        <v>9</v>
      </c>
      <c r="AD124" s="129">
        <f t="shared" si="60"/>
        <v>10</v>
      </c>
      <c r="AE124" s="129">
        <f t="shared" si="60"/>
        <v>0</v>
      </c>
      <c r="AF124" s="129">
        <f t="shared" si="60"/>
        <v>0</v>
      </c>
      <c r="AG124" s="129">
        <f t="shared" si="60"/>
        <v>39</v>
      </c>
      <c r="AH124" s="129">
        <f t="shared" si="60"/>
        <v>43</v>
      </c>
      <c r="AI124" s="129">
        <f t="shared" si="60"/>
        <v>13</v>
      </c>
      <c r="AJ124" s="129">
        <f t="shared" si="60"/>
        <v>58</v>
      </c>
      <c r="AK124" s="130">
        <f aca="true" t="shared" si="61" ref="AK124:AK155">+AJ124/J124</f>
        <v>0.1858974358974359</v>
      </c>
    </row>
    <row r="125" spans="1:37" s="175" customFormat="1" ht="45" hidden="1" outlineLevel="1">
      <c r="A125" s="165"/>
      <c r="B125" s="184" t="s">
        <v>84</v>
      </c>
      <c r="C125" s="194">
        <v>40820</v>
      </c>
      <c r="D125" s="194">
        <v>40885</v>
      </c>
      <c r="E125" s="168" t="s">
        <v>203</v>
      </c>
      <c r="F125" s="168" t="s">
        <v>77</v>
      </c>
      <c r="G125" s="168">
        <v>63</v>
      </c>
      <c r="H125" s="168">
        <v>120</v>
      </c>
      <c r="I125" s="170" t="s">
        <v>85</v>
      </c>
      <c r="J125" s="158">
        <v>61</v>
      </c>
      <c r="K125" s="168">
        <v>4</v>
      </c>
      <c r="L125" s="168">
        <v>17</v>
      </c>
      <c r="M125" s="168">
        <v>2</v>
      </c>
      <c r="N125" s="168">
        <v>1</v>
      </c>
      <c r="O125" s="168">
        <v>12</v>
      </c>
      <c r="P125" s="119">
        <v>19</v>
      </c>
      <c r="Q125" s="119">
        <v>17</v>
      </c>
      <c r="R125" s="120">
        <f aca="true" t="shared" si="62" ref="R125:R133">+O125+N125+M125+L125+K125</f>
        <v>36</v>
      </c>
      <c r="S125" s="171">
        <f t="shared" si="54"/>
        <v>0.5901639344262295</v>
      </c>
      <c r="T125" s="168">
        <v>3</v>
      </c>
      <c r="U125" s="168">
        <v>2</v>
      </c>
      <c r="V125" s="168">
        <v>0</v>
      </c>
      <c r="W125" s="168">
        <v>0</v>
      </c>
      <c r="X125" s="168">
        <v>1</v>
      </c>
      <c r="Y125" s="119">
        <v>4</v>
      </c>
      <c r="Z125" s="119">
        <v>2</v>
      </c>
      <c r="AA125" s="183">
        <f aca="true" t="shared" si="63" ref="AA125:AA133">SUM(T125:X125)</f>
        <v>6</v>
      </c>
      <c r="AB125" s="172">
        <f t="shared" si="53"/>
        <v>0.09836065573770492</v>
      </c>
      <c r="AC125" s="168">
        <v>1</v>
      </c>
      <c r="AD125" s="168">
        <v>8</v>
      </c>
      <c r="AE125" s="168">
        <v>0</v>
      </c>
      <c r="AF125" s="168">
        <v>0</v>
      </c>
      <c r="AG125" s="168">
        <v>10</v>
      </c>
      <c r="AH125" s="174">
        <v>12</v>
      </c>
      <c r="AI125" s="174">
        <v>5</v>
      </c>
      <c r="AJ125" s="158">
        <f aca="true" t="shared" si="64" ref="AJ125:AJ133">SUM(AC125:AG125)</f>
        <v>19</v>
      </c>
      <c r="AK125" s="172">
        <f t="shared" si="61"/>
        <v>0.3114754098360656</v>
      </c>
    </row>
    <row r="126" spans="1:37" s="175" customFormat="1" ht="45" hidden="1" outlineLevel="1">
      <c r="A126" s="165"/>
      <c r="B126" s="184" t="s">
        <v>204</v>
      </c>
      <c r="C126" s="194">
        <v>40819</v>
      </c>
      <c r="D126" s="194">
        <v>40884</v>
      </c>
      <c r="E126" s="168" t="s">
        <v>203</v>
      </c>
      <c r="F126" s="168" t="s">
        <v>115</v>
      </c>
      <c r="G126" s="168">
        <v>63</v>
      </c>
      <c r="H126" s="168">
        <v>120</v>
      </c>
      <c r="I126" s="170" t="s">
        <v>85</v>
      </c>
      <c r="J126" s="158">
        <v>20</v>
      </c>
      <c r="K126" s="168">
        <v>5</v>
      </c>
      <c r="L126" s="168">
        <v>0</v>
      </c>
      <c r="M126" s="168">
        <v>0</v>
      </c>
      <c r="N126" s="168">
        <v>0</v>
      </c>
      <c r="O126" s="168">
        <v>5</v>
      </c>
      <c r="P126" s="119">
        <v>5</v>
      </c>
      <c r="Q126" s="119">
        <v>5</v>
      </c>
      <c r="R126" s="120">
        <f t="shared" si="62"/>
        <v>10</v>
      </c>
      <c r="S126" s="171">
        <f t="shared" si="54"/>
        <v>0.5</v>
      </c>
      <c r="T126" s="168">
        <v>3</v>
      </c>
      <c r="U126" s="168">
        <v>0</v>
      </c>
      <c r="V126" s="168">
        <v>0</v>
      </c>
      <c r="W126" s="168">
        <v>0</v>
      </c>
      <c r="X126" s="168">
        <v>4</v>
      </c>
      <c r="Y126" s="119">
        <v>3</v>
      </c>
      <c r="Z126" s="119">
        <v>4</v>
      </c>
      <c r="AA126" s="183">
        <f t="shared" si="63"/>
        <v>7</v>
      </c>
      <c r="AB126" s="172">
        <f t="shared" si="53"/>
        <v>0.35</v>
      </c>
      <c r="AC126" s="168">
        <v>2</v>
      </c>
      <c r="AD126" s="168">
        <v>0</v>
      </c>
      <c r="AE126" s="168">
        <v>0</v>
      </c>
      <c r="AF126" s="168">
        <v>0</v>
      </c>
      <c r="AG126" s="168">
        <v>1</v>
      </c>
      <c r="AH126" s="174">
        <v>2</v>
      </c>
      <c r="AI126" s="174">
        <v>1</v>
      </c>
      <c r="AJ126" s="158">
        <f t="shared" si="64"/>
        <v>3</v>
      </c>
      <c r="AK126" s="172">
        <f t="shared" si="61"/>
        <v>0.15</v>
      </c>
    </row>
    <row r="127" spans="1:37" s="175" customFormat="1" ht="30" hidden="1" outlineLevel="1">
      <c r="A127" s="165"/>
      <c r="B127" s="184" t="s">
        <v>205</v>
      </c>
      <c r="C127" s="194">
        <v>40828</v>
      </c>
      <c r="D127" s="194">
        <v>40898</v>
      </c>
      <c r="E127" s="168" t="s">
        <v>203</v>
      </c>
      <c r="F127" s="168" t="s">
        <v>77</v>
      </c>
      <c r="G127" s="168">
        <v>63</v>
      </c>
      <c r="H127" s="168">
        <v>95</v>
      </c>
      <c r="I127" s="170" t="s">
        <v>81</v>
      </c>
      <c r="J127" s="158">
        <v>25</v>
      </c>
      <c r="K127" s="168">
        <v>2</v>
      </c>
      <c r="L127" s="168">
        <v>0</v>
      </c>
      <c r="M127" s="168">
        <v>0</v>
      </c>
      <c r="N127" s="168">
        <v>0</v>
      </c>
      <c r="O127" s="168">
        <v>8</v>
      </c>
      <c r="P127" s="119">
        <v>6</v>
      </c>
      <c r="Q127" s="119">
        <v>4</v>
      </c>
      <c r="R127" s="120">
        <f t="shared" si="62"/>
        <v>10</v>
      </c>
      <c r="S127" s="171">
        <f t="shared" si="54"/>
        <v>0.4</v>
      </c>
      <c r="T127" s="168">
        <v>1</v>
      </c>
      <c r="U127" s="168">
        <v>0</v>
      </c>
      <c r="V127" s="168">
        <v>0</v>
      </c>
      <c r="W127" s="168">
        <v>0</v>
      </c>
      <c r="X127" s="168">
        <v>9</v>
      </c>
      <c r="Y127" s="119">
        <v>7</v>
      </c>
      <c r="Z127" s="119">
        <v>3</v>
      </c>
      <c r="AA127" s="183">
        <f t="shared" si="63"/>
        <v>10</v>
      </c>
      <c r="AB127" s="172">
        <f aca="true" t="shared" si="65" ref="AB127:AB158">+AA127/J127</f>
        <v>0.4</v>
      </c>
      <c r="AC127" s="168">
        <v>1</v>
      </c>
      <c r="AD127" s="168">
        <v>0</v>
      </c>
      <c r="AE127" s="168">
        <v>0</v>
      </c>
      <c r="AF127" s="168">
        <v>0</v>
      </c>
      <c r="AG127" s="168">
        <v>4</v>
      </c>
      <c r="AH127" s="174">
        <v>5</v>
      </c>
      <c r="AI127" s="174">
        <v>0</v>
      </c>
      <c r="AJ127" s="158">
        <f t="shared" si="64"/>
        <v>5</v>
      </c>
      <c r="AK127" s="172">
        <f t="shared" si="61"/>
        <v>0.2</v>
      </c>
    </row>
    <row r="128" spans="1:37" s="175" customFormat="1" ht="30" hidden="1" outlineLevel="1">
      <c r="A128" s="165"/>
      <c r="B128" s="184" t="s">
        <v>206</v>
      </c>
      <c r="C128" s="194">
        <v>40819</v>
      </c>
      <c r="D128" s="194">
        <v>40889</v>
      </c>
      <c r="E128" s="168" t="s">
        <v>203</v>
      </c>
      <c r="F128" s="168" t="s">
        <v>77</v>
      </c>
      <c r="G128" s="168">
        <v>49</v>
      </c>
      <c r="H128" s="168">
        <v>120</v>
      </c>
      <c r="I128" s="170" t="s">
        <v>78</v>
      </c>
      <c r="J128" s="158">
        <v>29</v>
      </c>
      <c r="K128" s="168">
        <v>27</v>
      </c>
      <c r="L128" s="168">
        <v>0</v>
      </c>
      <c r="M128" s="168">
        <v>0</v>
      </c>
      <c r="N128" s="168">
        <v>0</v>
      </c>
      <c r="O128" s="168">
        <v>0</v>
      </c>
      <c r="P128" s="119">
        <v>16</v>
      </c>
      <c r="Q128" s="119">
        <v>11</v>
      </c>
      <c r="R128" s="120">
        <f t="shared" si="62"/>
        <v>27</v>
      </c>
      <c r="S128" s="171">
        <f t="shared" si="54"/>
        <v>0.9310344827586207</v>
      </c>
      <c r="T128" s="168">
        <v>2</v>
      </c>
      <c r="U128" s="168">
        <v>0</v>
      </c>
      <c r="V128" s="168">
        <v>0</v>
      </c>
      <c r="W128" s="168">
        <v>0</v>
      </c>
      <c r="X128" s="168">
        <v>0</v>
      </c>
      <c r="Y128" s="119">
        <v>2</v>
      </c>
      <c r="Z128" s="119">
        <v>0</v>
      </c>
      <c r="AA128" s="183">
        <f t="shared" si="63"/>
        <v>2</v>
      </c>
      <c r="AB128" s="172">
        <f t="shared" si="65"/>
        <v>0.06896551724137931</v>
      </c>
      <c r="AC128" s="168">
        <v>0</v>
      </c>
      <c r="AD128" s="168">
        <v>0</v>
      </c>
      <c r="AE128" s="168">
        <v>0</v>
      </c>
      <c r="AF128" s="168">
        <v>0</v>
      </c>
      <c r="AG128" s="168">
        <v>0</v>
      </c>
      <c r="AH128" s="119">
        <v>0</v>
      </c>
      <c r="AI128" s="119">
        <v>0</v>
      </c>
      <c r="AJ128" s="158">
        <f t="shared" si="64"/>
        <v>0</v>
      </c>
      <c r="AK128" s="172">
        <f t="shared" si="61"/>
        <v>0</v>
      </c>
    </row>
    <row r="129" spans="1:37" s="175" customFormat="1" ht="30" hidden="1" outlineLevel="1">
      <c r="A129" s="165"/>
      <c r="B129" s="184" t="s">
        <v>207</v>
      </c>
      <c r="C129" s="194">
        <v>40821</v>
      </c>
      <c r="D129" s="194">
        <v>40898</v>
      </c>
      <c r="E129" s="168" t="s">
        <v>203</v>
      </c>
      <c r="F129" s="168" t="s">
        <v>77</v>
      </c>
      <c r="G129" s="168">
        <v>54</v>
      </c>
      <c r="H129" s="168">
        <v>120</v>
      </c>
      <c r="I129" s="170" t="s">
        <v>78</v>
      </c>
      <c r="J129" s="158">
        <v>26</v>
      </c>
      <c r="K129" s="168">
        <v>5</v>
      </c>
      <c r="L129" s="168">
        <v>0</v>
      </c>
      <c r="M129" s="168">
        <v>0</v>
      </c>
      <c r="N129" s="168">
        <v>0</v>
      </c>
      <c r="O129" s="168">
        <v>6</v>
      </c>
      <c r="P129" s="119">
        <v>9</v>
      </c>
      <c r="Q129" s="119">
        <v>2</v>
      </c>
      <c r="R129" s="120">
        <f t="shared" si="62"/>
        <v>11</v>
      </c>
      <c r="S129" s="171">
        <f t="shared" si="54"/>
        <v>0.4230769230769231</v>
      </c>
      <c r="T129" s="168">
        <v>0</v>
      </c>
      <c r="U129" s="168">
        <v>0</v>
      </c>
      <c r="V129" s="168">
        <v>0</v>
      </c>
      <c r="W129" s="168">
        <v>0</v>
      </c>
      <c r="X129" s="168">
        <v>6</v>
      </c>
      <c r="Y129" s="119">
        <v>5</v>
      </c>
      <c r="Z129" s="119">
        <v>1</v>
      </c>
      <c r="AA129" s="183">
        <f t="shared" si="63"/>
        <v>6</v>
      </c>
      <c r="AB129" s="172">
        <f t="shared" si="65"/>
        <v>0.23076923076923078</v>
      </c>
      <c r="AC129" s="168">
        <v>1</v>
      </c>
      <c r="AD129" s="168">
        <v>0</v>
      </c>
      <c r="AE129" s="168">
        <v>0</v>
      </c>
      <c r="AF129" s="168">
        <v>0</v>
      </c>
      <c r="AG129" s="168">
        <v>8</v>
      </c>
      <c r="AH129" s="174">
        <v>8</v>
      </c>
      <c r="AI129" s="174">
        <v>1</v>
      </c>
      <c r="AJ129" s="158">
        <f t="shared" si="64"/>
        <v>9</v>
      </c>
      <c r="AK129" s="172">
        <f t="shared" si="61"/>
        <v>0.34615384615384615</v>
      </c>
    </row>
    <row r="130" spans="1:37" s="175" customFormat="1" ht="30" hidden="1" outlineLevel="1">
      <c r="A130" s="165"/>
      <c r="B130" s="184" t="s">
        <v>208</v>
      </c>
      <c r="C130" s="194"/>
      <c r="D130" s="194"/>
      <c r="E130" s="168" t="s">
        <v>209</v>
      </c>
      <c r="F130" s="168" t="s">
        <v>93</v>
      </c>
      <c r="G130" s="168">
        <v>164</v>
      </c>
      <c r="H130" s="168">
        <v>0</v>
      </c>
      <c r="I130" s="170" t="s">
        <v>89</v>
      </c>
      <c r="J130" s="158">
        <v>41</v>
      </c>
      <c r="K130" s="168">
        <v>1</v>
      </c>
      <c r="L130" s="168">
        <v>0</v>
      </c>
      <c r="M130" s="168">
        <v>0</v>
      </c>
      <c r="N130" s="168">
        <v>0</v>
      </c>
      <c r="O130" s="168">
        <v>10</v>
      </c>
      <c r="P130" s="119">
        <v>5</v>
      </c>
      <c r="Q130" s="119">
        <v>6</v>
      </c>
      <c r="R130" s="120">
        <f t="shared" si="62"/>
        <v>11</v>
      </c>
      <c r="S130" s="171">
        <f t="shared" si="54"/>
        <v>0.2682926829268293</v>
      </c>
      <c r="T130" s="168">
        <v>1</v>
      </c>
      <c r="U130" s="168">
        <v>3</v>
      </c>
      <c r="V130" s="168">
        <v>0</v>
      </c>
      <c r="W130" s="168">
        <v>0</v>
      </c>
      <c r="X130" s="168">
        <v>26</v>
      </c>
      <c r="Y130" s="119">
        <v>16</v>
      </c>
      <c r="Z130" s="119">
        <v>14</v>
      </c>
      <c r="AA130" s="183">
        <f t="shared" si="63"/>
        <v>30</v>
      </c>
      <c r="AB130" s="172">
        <f t="shared" si="65"/>
        <v>0.7317073170731707</v>
      </c>
      <c r="AC130" s="168">
        <v>0</v>
      </c>
      <c r="AD130" s="168">
        <v>0</v>
      </c>
      <c r="AE130" s="168">
        <v>0</v>
      </c>
      <c r="AF130" s="168">
        <v>0</v>
      </c>
      <c r="AG130" s="168">
        <v>0</v>
      </c>
      <c r="AH130" s="174">
        <v>0</v>
      </c>
      <c r="AI130" s="174">
        <v>0</v>
      </c>
      <c r="AJ130" s="158">
        <f t="shared" si="64"/>
        <v>0</v>
      </c>
      <c r="AK130" s="172">
        <f t="shared" si="61"/>
        <v>0</v>
      </c>
    </row>
    <row r="131" spans="1:37" s="175" customFormat="1" ht="30" hidden="1" outlineLevel="1">
      <c r="A131" s="165"/>
      <c r="B131" s="184" t="s">
        <v>210</v>
      </c>
      <c r="C131" s="194">
        <v>40819</v>
      </c>
      <c r="D131" s="194">
        <v>40895</v>
      </c>
      <c r="E131" s="168" t="s">
        <v>203</v>
      </c>
      <c r="F131" s="168" t="s">
        <v>77</v>
      </c>
      <c r="G131" s="168">
        <v>49</v>
      </c>
      <c r="H131" s="168">
        <v>120</v>
      </c>
      <c r="I131" s="170" t="s">
        <v>83</v>
      </c>
      <c r="J131" s="158">
        <v>23</v>
      </c>
      <c r="K131" s="168">
        <v>3</v>
      </c>
      <c r="L131" s="168">
        <v>0</v>
      </c>
      <c r="M131" s="168">
        <v>0</v>
      </c>
      <c r="N131" s="168">
        <v>0</v>
      </c>
      <c r="O131" s="168">
        <v>3</v>
      </c>
      <c r="P131" s="119">
        <v>6</v>
      </c>
      <c r="Q131" s="119">
        <v>0</v>
      </c>
      <c r="R131" s="120">
        <f t="shared" si="62"/>
        <v>6</v>
      </c>
      <c r="S131" s="171">
        <f t="shared" si="54"/>
        <v>0.2608695652173913</v>
      </c>
      <c r="T131" s="168">
        <v>3</v>
      </c>
      <c r="U131" s="168">
        <v>0</v>
      </c>
      <c r="V131" s="168">
        <v>0</v>
      </c>
      <c r="W131" s="168">
        <v>1</v>
      </c>
      <c r="X131" s="168">
        <v>4</v>
      </c>
      <c r="Y131" s="119">
        <v>6</v>
      </c>
      <c r="Z131" s="119">
        <v>2</v>
      </c>
      <c r="AA131" s="183">
        <f t="shared" si="63"/>
        <v>8</v>
      </c>
      <c r="AB131" s="172">
        <f t="shared" si="65"/>
        <v>0.34782608695652173</v>
      </c>
      <c r="AC131" s="168">
        <v>1</v>
      </c>
      <c r="AD131" s="168">
        <v>0</v>
      </c>
      <c r="AE131" s="168">
        <v>0</v>
      </c>
      <c r="AF131" s="168">
        <v>0</v>
      </c>
      <c r="AG131" s="168">
        <v>8</v>
      </c>
      <c r="AH131" s="174">
        <v>8</v>
      </c>
      <c r="AI131" s="174">
        <v>1</v>
      </c>
      <c r="AJ131" s="158">
        <f t="shared" si="64"/>
        <v>9</v>
      </c>
      <c r="AK131" s="172">
        <f t="shared" si="61"/>
        <v>0.391304347826087</v>
      </c>
    </row>
    <row r="132" spans="1:37" s="175" customFormat="1" ht="30" hidden="1" outlineLevel="1">
      <c r="A132" s="165"/>
      <c r="B132" s="184" t="s">
        <v>211</v>
      </c>
      <c r="C132" s="194">
        <v>40819</v>
      </c>
      <c r="D132" s="194">
        <v>40893</v>
      </c>
      <c r="E132" s="168" t="s">
        <v>203</v>
      </c>
      <c r="F132" s="168" t="s">
        <v>77</v>
      </c>
      <c r="G132" s="168">
        <v>49</v>
      </c>
      <c r="H132" s="168">
        <v>120</v>
      </c>
      <c r="I132" s="170" t="s">
        <v>83</v>
      </c>
      <c r="J132" s="158">
        <v>40</v>
      </c>
      <c r="K132" s="168">
        <v>8</v>
      </c>
      <c r="L132" s="168">
        <v>2</v>
      </c>
      <c r="M132" s="168">
        <v>0</v>
      </c>
      <c r="N132" s="168">
        <v>0</v>
      </c>
      <c r="O132" s="168">
        <v>5</v>
      </c>
      <c r="P132" s="119">
        <v>8</v>
      </c>
      <c r="Q132" s="119">
        <v>7</v>
      </c>
      <c r="R132" s="120">
        <f t="shared" si="62"/>
        <v>15</v>
      </c>
      <c r="S132" s="171">
        <f t="shared" si="54"/>
        <v>0.375</v>
      </c>
      <c r="T132" s="168">
        <v>8</v>
      </c>
      <c r="U132" s="168">
        <v>4</v>
      </c>
      <c r="V132" s="168">
        <v>0</v>
      </c>
      <c r="W132" s="168">
        <v>0</v>
      </c>
      <c r="X132" s="168">
        <v>3</v>
      </c>
      <c r="Y132" s="119">
        <v>10</v>
      </c>
      <c r="Z132" s="119">
        <v>5</v>
      </c>
      <c r="AA132" s="183">
        <f t="shared" si="63"/>
        <v>15</v>
      </c>
      <c r="AB132" s="172">
        <f t="shared" si="65"/>
        <v>0.375</v>
      </c>
      <c r="AC132" s="168">
        <v>2</v>
      </c>
      <c r="AD132" s="168">
        <v>2</v>
      </c>
      <c r="AE132" s="168">
        <v>0</v>
      </c>
      <c r="AF132" s="168">
        <v>0</v>
      </c>
      <c r="AG132" s="168">
        <v>6</v>
      </c>
      <c r="AH132" s="174">
        <v>6</v>
      </c>
      <c r="AI132" s="174">
        <v>4</v>
      </c>
      <c r="AJ132" s="158">
        <f t="shared" si="64"/>
        <v>10</v>
      </c>
      <c r="AK132" s="172">
        <f t="shared" si="61"/>
        <v>0.25</v>
      </c>
    </row>
    <row r="133" spans="1:37" s="175" customFormat="1" ht="30" hidden="1" outlineLevel="1">
      <c r="A133" s="165"/>
      <c r="B133" s="184" t="s">
        <v>212</v>
      </c>
      <c r="C133" s="194">
        <v>40832</v>
      </c>
      <c r="D133" s="194">
        <v>40891</v>
      </c>
      <c r="E133" s="168" t="s">
        <v>203</v>
      </c>
      <c r="F133" s="168" t="s">
        <v>77</v>
      </c>
      <c r="G133" s="168">
        <v>0</v>
      </c>
      <c r="H133" s="168">
        <v>80</v>
      </c>
      <c r="I133" s="170" t="s">
        <v>89</v>
      </c>
      <c r="J133" s="158">
        <v>47</v>
      </c>
      <c r="K133" s="168">
        <v>17</v>
      </c>
      <c r="L133" s="168">
        <v>2</v>
      </c>
      <c r="M133" s="168">
        <v>0</v>
      </c>
      <c r="N133" s="168">
        <v>0</v>
      </c>
      <c r="O133" s="168">
        <v>7</v>
      </c>
      <c r="P133" s="119">
        <v>15</v>
      </c>
      <c r="Q133" s="119">
        <v>11</v>
      </c>
      <c r="R133" s="120">
        <f t="shared" si="62"/>
        <v>26</v>
      </c>
      <c r="S133" s="171">
        <f t="shared" si="54"/>
        <v>0.5531914893617021</v>
      </c>
      <c r="T133" s="168">
        <v>10</v>
      </c>
      <c r="U133" s="168">
        <v>1</v>
      </c>
      <c r="V133" s="168">
        <v>0</v>
      </c>
      <c r="W133" s="168">
        <v>3</v>
      </c>
      <c r="X133" s="168">
        <v>4</v>
      </c>
      <c r="Y133" s="119">
        <v>10</v>
      </c>
      <c r="Z133" s="119">
        <v>8</v>
      </c>
      <c r="AA133" s="183">
        <f t="shared" si="63"/>
        <v>18</v>
      </c>
      <c r="AB133" s="172">
        <f t="shared" si="65"/>
        <v>0.3829787234042553</v>
      </c>
      <c r="AC133" s="168">
        <v>1</v>
      </c>
      <c r="AD133" s="168">
        <v>0</v>
      </c>
      <c r="AE133" s="168">
        <v>0</v>
      </c>
      <c r="AF133" s="168">
        <v>0</v>
      </c>
      <c r="AG133" s="168">
        <v>2</v>
      </c>
      <c r="AH133" s="174">
        <v>2</v>
      </c>
      <c r="AI133" s="174">
        <v>1</v>
      </c>
      <c r="AJ133" s="158">
        <f t="shared" si="64"/>
        <v>3</v>
      </c>
      <c r="AK133" s="172">
        <f t="shared" si="61"/>
        <v>0.06382978723404255</v>
      </c>
    </row>
    <row r="134" spans="2:37" s="131" customFormat="1" ht="16.5">
      <c r="B134" s="127" t="s">
        <v>95</v>
      </c>
      <c r="C134" s="195"/>
      <c r="D134" s="195"/>
      <c r="E134" s="129"/>
      <c r="F134" s="129"/>
      <c r="G134" s="129">
        <f>SUM(G135:G178)</f>
        <v>773</v>
      </c>
      <c r="H134" s="129">
        <f>SUM(H135:H178)</f>
        <v>0</v>
      </c>
      <c r="I134" s="176"/>
      <c r="J134" s="129">
        <f aca="true" t="shared" si="66" ref="J134:R134">SUM(J135:J178)</f>
        <v>3126</v>
      </c>
      <c r="K134" s="129">
        <f t="shared" si="66"/>
        <v>315</v>
      </c>
      <c r="L134" s="129">
        <f t="shared" si="66"/>
        <v>59</v>
      </c>
      <c r="M134" s="129">
        <f t="shared" si="66"/>
        <v>65</v>
      </c>
      <c r="N134" s="129">
        <f t="shared" si="66"/>
        <v>64</v>
      </c>
      <c r="O134" s="129">
        <f t="shared" si="66"/>
        <v>1776</v>
      </c>
      <c r="P134" s="129">
        <f t="shared" si="66"/>
        <v>1824</v>
      </c>
      <c r="Q134" s="129">
        <f t="shared" si="66"/>
        <v>455</v>
      </c>
      <c r="R134" s="129">
        <f t="shared" si="66"/>
        <v>2279</v>
      </c>
      <c r="S134" s="130">
        <f aca="true" t="shared" si="67" ref="S134:S165">+R134/J134</f>
        <v>0.7290467050543826</v>
      </c>
      <c r="T134" s="129">
        <f aca="true" t="shared" si="68" ref="T134:Z134">SUM(T135:T177)</f>
        <v>272</v>
      </c>
      <c r="U134" s="129">
        <f t="shared" si="68"/>
        <v>20</v>
      </c>
      <c r="V134" s="129">
        <f t="shared" si="68"/>
        <v>43</v>
      </c>
      <c r="W134" s="129">
        <f t="shared" si="68"/>
        <v>13</v>
      </c>
      <c r="X134" s="129">
        <f t="shared" si="68"/>
        <v>355</v>
      </c>
      <c r="Y134" s="129">
        <f t="shared" si="68"/>
        <v>336</v>
      </c>
      <c r="Z134" s="129">
        <f t="shared" si="68"/>
        <v>173</v>
      </c>
      <c r="AA134" s="129">
        <f>SUM(AA135:AA178)</f>
        <v>847</v>
      </c>
      <c r="AB134" s="130">
        <f t="shared" si="65"/>
        <v>0.27095329494561743</v>
      </c>
      <c r="AC134" s="129">
        <f aca="true" t="shared" si="69" ref="AC134:AJ134">SUM(AC135:AC177)</f>
        <v>0</v>
      </c>
      <c r="AD134" s="129">
        <f t="shared" si="69"/>
        <v>0</v>
      </c>
      <c r="AE134" s="129">
        <f t="shared" si="69"/>
        <v>0</v>
      </c>
      <c r="AF134" s="129">
        <f t="shared" si="69"/>
        <v>0</v>
      </c>
      <c r="AG134" s="129">
        <f t="shared" si="69"/>
        <v>0</v>
      </c>
      <c r="AH134" s="129">
        <f t="shared" si="69"/>
        <v>0</v>
      </c>
      <c r="AI134" s="129">
        <f t="shared" si="69"/>
        <v>0</v>
      </c>
      <c r="AJ134" s="129">
        <f t="shared" si="69"/>
        <v>0</v>
      </c>
      <c r="AK134" s="130">
        <f t="shared" si="61"/>
        <v>0</v>
      </c>
    </row>
    <row r="135" spans="1:38" s="175" customFormat="1" ht="30" hidden="1" outlineLevel="1">
      <c r="A135" s="196"/>
      <c r="B135" s="166" t="s">
        <v>213</v>
      </c>
      <c r="C135" s="197">
        <v>40850</v>
      </c>
      <c r="D135" s="197">
        <v>40851</v>
      </c>
      <c r="E135" s="169" t="s">
        <v>203</v>
      </c>
      <c r="F135" s="169" t="s">
        <v>129</v>
      </c>
      <c r="G135" s="169">
        <v>14</v>
      </c>
      <c r="H135" s="169">
        <v>0</v>
      </c>
      <c r="I135" s="198" t="s">
        <v>81</v>
      </c>
      <c r="J135" s="158">
        <v>11</v>
      </c>
      <c r="K135" s="168">
        <v>6</v>
      </c>
      <c r="L135" s="168">
        <v>0</v>
      </c>
      <c r="M135" s="168">
        <v>0</v>
      </c>
      <c r="N135" s="168">
        <v>0</v>
      </c>
      <c r="O135" s="168">
        <v>0</v>
      </c>
      <c r="P135" s="119">
        <v>4</v>
      </c>
      <c r="Q135" s="119">
        <v>2</v>
      </c>
      <c r="R135" s="120">
        <f aca="true" t="shared" si="70" ref="R135:R178">SUM(K135:O135)</f>
        <v>6</v>
      </c>
      <c r="S135" s="171">
        <f t="shared" si="67"/>
        <v>0.5454545454545454</v>
      </c>
      <c r="T135" s="168">
        <v>5</v>
      </c>
      <c r="U135" s="168">
        <v>0</v>
      </c>
      <c r="V135" s="168">
        <v>0</v>
      </c>
      <c r="W135" s="168">
        <v>0</v>
      </c>
      <c r="X135" s="168">
        <v>0</v>
      </c>
      <c r="Y135" s="119">
        <v>3</v>
      </c>
      <c r="Z135" s="119">
        <v>2</v>
      </c>
      <c r="AA135" s="183">
        <f aca="true" t="shared" si="71" ref="AA135:AA177">SUM(T135:X135)</f>
        <v>5</v>
      </c>
      <c r="AB135" s="172">
        <f t="shared" si="65"/>
        <v>0.45454545454545453</v>
      </c>
      <c r="AC135" s="168">
        <v>0</v>
      </c>
      <c r="AD135" s="168">
        <v>0</v>
      </c>
      <c r="AE135" s="168">
        <v>0</v>
      </c>
      <c r="AF135" s="168">
        <v>0</v>
      </c>
      <c r="AG135" s="168">
        <v>0</v>
      </c>
      <c r="AH135" s="174">
        <v>0</v>
      </c>
      <c r="AI135" s="174">
        <v>0</v>
      </c>
      <c r="AJ135" s="158">
        <f aca="true" t="shared" si="72" ref="AJ135:AJ178">SUM(AC135:AG135)</f>
        <v>0</v>
      </c>
      <c r="AK135" s="172">
        <f t="shared" si="61"/>
        <v>0</v>
      </c>
      <c r="AL135" s="175">
        <v>1</v>
      </c>
    </row>
    <row r="136" spans="1:37" s="175" customFormat="1" ht="30" hidden="1" outlineLevel="1">
      <c r="A136" s="196"/>
      <c r="B136" s="166" t="s">
        <v>167</v>
      </c>
      <c r="C136" s="197">
        <v>40836</v>
      </c>
      <c r="D136" s="197">
        <v>40837</v>
      </c>
      <c r="E136" s="169" t="s">
        <v>203</v>
      </c>
      <c r="F136" s="169" t="s">
        <v>97</v>
      </c>
      <c r="G136" s="169">
        <v>14</v>
      </c>
      <c r="H136" s="169">
        <v>0</v>
      </c>
      <c r="I136" s="198" t="s">
        <v>81</v>
      </c>
      <c r="J136" s="158">
        <v>29</v>
      </c>
      <c r="K136" s="168">
        <v>0</v>
      </c>
      <c r="L136" s="168">
        <v>0</v>
      </c>
      <c r="M136" s="168">
        <v>17</v>
      </c>
      <c r="N136" s="168">
        <v>0</v>
      </c>
      <c r="O136" s="168">
        <v>0</v>
      </c>
      <c r="P136" s="119">
        <v>13</v>
      </c>
      <c r="Q136" s="119">
        <v>4</v>
      </c>
      <c r="R136" s="120">
        <f t="shared" si="70"/>
        <v>17</v>
      </c>
      <c r="S136" s="171">
        <f t="shared" si="67"/>
        <v>0.5862068965517241</v>
      </c>
      <c r="T136" s="168">
        <v>0</v>
      </c>
      <c r="U136" s="168">
        <v>0</v>
      </c>
      <c r="V136" s="168">
        <v>12</v>
      </c>
      <c r="W136" s="168">
        <v>0</v>
      </c>
      <c r="X136" s="168">
        <v>0</v>
      </c>
      <c r="Y136" s="119">
        <v>10</v>
      </c>
      <c r="Z136" s="119">
        <v>2</v>
      </c>
      <c r="AA136" s="183">
        <f t="shared" si="71"/>
        <v>12</v>
      </c>
      <c r="AB136" s="172">
        <f t="shared" si="65"/>
        <v>0.41379310344827586</v>
      </c>
      <c r="AC136" s="168">
        <v>0</v>
      </c>
      <c r="AD136" s="168">
        <v>0</v>
      </c>
      <c r="AE136" s="168">
        <v>0</v>
      </c>
      <c r="AF136" s="168">
        <v>0</v>
      </c>
      <c r="AG136" s="168">
        <v>0</v>
      </c>
      <c r="AH136" s="174">
        <v>0</v>
      </c>
      <c r="AI136" s="174">
        <v>0</v>
      </c>
      <c r="AJ136" s="158">
        <f t="shared" si="72"/>
        <v>0</v>
      </c>
      <c r="AK136" s="172">
        <f t="shared" si="61"/>
        <v>0</v>
      </c>
    </row>
    <row r="137" spans="1:37" s="175" customFormat="1" ht="30" hidden="1" outlineLevel="1">
      <c r="A137" s="196"/>
      <c r="B137" s="166" t="s">
        <v>214</v>
      </c>
      <c r="C137" s="197">
        <v>40885</v>
      </c>
      <c r="D137" s="197">
        <v>40886</v>
      </c>
      <c r="E137" s="169" t="s">
        <v>203</v>
      </c>
      <c r="F137" s="169" t="s">
        <v>129</v>
      </c>
      <c r="G137" s="169">
        <v>14</v>
      </c>
      <c r="H137" s="169">
        <v>0</v>
      </c>
      <c r="I137" s="198" t="s">
        <v>81</v>
      </c>
      <c r="J137" s="158">
        <v>45</v>
      </c>
      <c r="K137" s="168">
        <v>0</v>
      </c>
      <c r="L137" s="168">
        <v>0</v>
      </c>
      <c r="M137" s="168">
        <v>0</v>
      </c>
      <c r="N137" s="168">
        <v>0</v>
      </c>
      <c r="O137" s="168">
        <v>29</v>
      </c>
      <c r="P137" s="119">
        <v>27</v>
      </c>
      <c r="Q137" s="119">
        <v>2</v>
      </c>
      <c r="R137" s="120">
        <f t="shared" si="70"/>
        <v>29</v>
      </c>
      <c r="S137" s="171">
        <f t="shared" si="67"/>
        <v>0.6444444444444445</v>
      </c>
      <c r="T137" s="168">
        <v>0</v>
      </c>
      <c r="U137" s="168">
        <v>0</v>
      </c>
      <c r="V137" s="168">
        <v>0</v>
      </c>
      <c r="W137" s="168">
        <v>0</v>
      </c>
      <c r="X137" s="168">
        <v>16</v>
      </c>
      <c r="Y137" s="119">
        <v>14</v>
      </c>
      <c r="Z137" s="119">
        <v>2</v>
      </c>
      <c r="AA137" s="183">
        <f t="shared" si="71"/>
        <v>16</v>
      </c>
      <c r="AB137" s="172">
        <f t="shared" si="65"/>
        <v>0.35555555555555557</v>
      </c>
      <c r="AC137" s="168">
        <v>0</v>
      </c>
      <c r="AD137" s="168">
        <v>0</v>
      </c>
      <c r="AE137" s="168">
        <v>0</v>
      </c>
      <c r="AF137" s="168">
        <v>0</v>
      </c>
      <c r="AG137" s="168">
        <v>0</v>
      </c>
      <c r="AH137" s="174">
        <v>0</v>
      </c>
      <c r="AI137" s="174">
        <v>0</v>
      </c>
      <c r="AJ137" s="158">
        <f t="shared" si="72"/>
        <v>0</v>
      </c>
      <c r="AK137" s="172">
        <f t="shared" si="61"/>
        <v>0</v>
      </c>
    </row>
    <row r="138" spans="1:37" s="175" customFormat="1" ht="30" hidden="1" outlineLevel="1">
      <c r="A138" s="196"/>
      <c r="B138" s="166" t="s">
        <v>215</v>
      </c>
      <c r="C138" s="197">
        <v>40871</v>
      </c>
      <c r="D138" s="197">
        <v>40872</v>
      </c>
      <c r="E138" s="169" t="s">
        <v>203</v>
      </c>
      <c r="F138" s="169" t="s">
        <v>129</v>
      </c>
      <c r="G138" s="169">
        <v>14</v>
      </c>
      <c r="H138" s="169">
        <v>0</v>
      </c>
      <c r="I138" s="198" t="s">
        <v>81</v>
      </c>
      <c r="J138" s="158">
        <v>42</v>
      </c>
      <c r="K138" s="168">
        <v>10</v>
      </c>
      <c r="L138" s="168">
        <v>6</v>
      </c>
      <c r="M138" s="168">
        <v>0</v>
      </c>
      <c r="N138" s="168">
        <v>0</v>
      </c>
      <c r="O138" s="168">
        <v>5</v>
      </c>
      <c r="P138" s="119">
        <v>15</v>
      </c>
      <c r="Q138" s="119">
        <v>6</v>
      </c>
      <c r="R138" s="120">
        <f t="shared" si="70"/>
        <v>21</v>
      </c>
      <c r="S138" s="171">
        <f t="shared" si="67"/>
        <v>0.5</v>
      </c>
      <c r="T138" s="168">
        <v>11</v>
      </c>
      <c r="U138" s="168">
        <v>3</v>
      </c>
      <c r="V138" s="168">
        <v>0</v>
      </c>
      <c r="W138" s="168">
        <v>0</v>
      </c>
      <c r="X138" s="168">
        <v>7</v>
      </c>
      <c r="Y138" s="119">
        <v>12</v>
      </c>
      <c r="Z138" s="119">
        <v>9</v>
      </c>
      <c r="AA138" s="183">
        <f t="shared" si="71"/>
        <v>21</v>
      </c>
      <c r="AB138" s="172">
        <f t="shared" si="65"/>
        <v>0.5</v>
      </c>
      <c r="AC138" s="168">
        <v>0</v>
      </c>
      <c r="AD138" s="168">
        <v>0</v>
      </c>
      <c r="AE138" s="168">
        <v>0</v>
      </c>
      <c r="AF138" s="168">
        <v>0</v>
      </c>
      <c r="AG138" s="168">
        <v>0</v>
      </c>
      <c r="AH138" s="174">
        <v>0</v>
      </c>
      <c r="AI138" s="174">
        <v>0</v>
      </c>
      <c r="AJ138" s="158">
        <f t="shared" si="72"/>
        <v>0</v>
      </c>
      <c r="AK138" s="172">
        <f t="shared" si="61"/>
        <v>0</v>
      </c>
    </row>
    <row r="139" spans="1:37" s="175" customFormat="1" ht="30" hidden="1" outlineLevel="1">
      <c r="A139" s="196"/>
      <c r="B139" s="166" t="s">
        <v>216</v>
      </c>
      <c r="C139" s="197">
        <v>40844</v>
      </c>
      <c r="D139" s="197">
        <v>40844</v>
      </c>
      <c r="E139" s="169" t="s">
        <v>203</v>
      </c>
      <c r="F139" s="169" t="s">
        <v>97</v>
      </c>
      <c r="G139" s="169">
        <v>7</v>
      </c>
      <c r="H139" s="169">
        <v>0</v>
      </c>
      <c r="I139" s="198" t="s">
        <v>83</v>
      </c>
      <c r="J139" s="158">
        <v>55</v>
      </c>
      <c r="K139" s="168">
        <v>22</v>
      </c>
      <c r="L139" s="168">
        <v>0</v>
      </c>
      <c r="M139" s="168">
        <v>0</v>
      </c>
      <c r="N139" s="168">
        <v>0</v>
      </c>
      <c r="O139" s="168">
        <v>0</v>
      </c>
      <c r="P139" s="119">
        <v>14</v>
      </c>
      <c r="Q139" s="119">
        <v>8</v>
      </c>
      <c r="R139" s="120">
        <f t="shared" si="70"/>
        <v>22</v>
      </c>
      <c r="S139" s="171">
        <f t="shared" si="67"/>
        <v>0.4</v>
      </c>
      <c r="T139" s="168">
        <v>33</v>
      </c>
      <c r="U139" s="168">
        <v>0</v>
      </c>
      <c r="V139" s="168">
        <v>0</v>
      </c>
      <c r="W139" s="168">
        <v>0</v>
      </c>
      <c r="X139" s="168">
        <v>0</v>
      </c>
      <c r="Y139" s="119">
        <v>25</v>
      </c>
      <c r="Z139" s="119">
        <v>8</v>
      </c>
      <c r="AA139" s="183">
        <f t="shared" si="71"/>
        <v>33</v>
      </c>
      <c r="AB139" s="172">
        <f t="shared" si="65"/>
        <v>0.6</v>
      </c>
      <c r="AC139" s="168">
        <v>0</v>
      </c>
      <c r="AD139" s="168">
        <v>0</v>
      </c>
      <c r="AE139" s="168">
        <v>0</v>
      </c>
      <c r="AF139" s="168">
        <v>0</v>
      </c>
      <c r="AG139" s="168">
        <v>0</v>
      </c>
      <c r="AH139" s="174">
        <v>0</v>
      </c>
      <c r="AI139" s="174">
        <v>0</v>
      </c>
      <c r="AJ139" s="158">
        <f t="shared" si="72"/>
        <v>0</v>
      </c>
      <c r="AK139" s="172">
        <f t="shared" si="61"/>
        <v>0</v>
      </c>
    </row>
    <row r="140" spans="1:37" s="175" customFormat="1" ht="30" hidden="1" outlineLevel="1">
      <c r="A140" s="196"/>
      <c r="B140" s="180" t="s">
        <v>217</v>
      </c>
      <c r="C140" s="197">
        <v>40819</v>
      </c>
      <c r="D140" s="197">
        <v>40820</v>
      </c>
      <c r="E140" s="169" t="s">
        <v>203</v>
      </c>
      <c r="F140" s="169" t="s">
        <v>77</v>
      </c>
      <c r="G140" s="169">
        <v>14</v>
      </c>
      <c r="H140" s="169">
        <v>0</v>
      </c>
      <c r="I140" s="198" t="s">
        <v>78</v>
      </c>
      <c r="J140" s="158">
        <v>45</v>
      </c>
      <c r="K140" s="168">
        <v>10</v>
      </c>
      <c r="L140" s="168">
        <v>4</v>
      </c>
      <c r="M140" s="168">
        <v>0</v>
      </c>
      <c r="N140" s="168">
        <v>6</v>
      </c>
      <c r="O140" s="168">
        <v>4</v>
      </c>
      <c r="P140" s="119">
        <v>12</v>
      </c>
      <c r="Q140" s="119">
        <v>12</v>
      </c>
      <c r="R140" s="120">
        <f t="shared" si="70"/>
        <v>24</v>
      </c>
      <c r="S140" s="171">
        <f t="shared" si="67"/>
        <v>0.5333333333333333</v>
      </c>
      <c r="T140" s="168">
        <v>17</v>
      </c>
      <c r="U140" s="168">
        <v>0</v>
      </c>
      <c r="V140" s="168">
        <v>0</v>
      </c>
      <c r="W140" s="168">
        <v>4</v>
      </c>
      <c r="X140" s="168">
        <v>0</v>
      </c>
      <c r="Y140" s="119">
        <v>14</v>
      </c>
      <c r="Z140" s="119">
        <v>7</v>
      </c>
      <c r="AA140" s="183">
        <f t="shared" si="71"/>
        <v>21</v>
      </c>
      <c r="AB140" s="172">
        <f t="shared" si="65"/>
        <v>0.4666666666666667</v>
      </c>
      <c r="AC140" s="168">
        <v>0</v>
      </c>
      <c r="AD140" s="168">
        <v>0</v>
      </c>
      <c r="AE140" s="168">
        <v>0</v>
      </c>
      <c r="AF140" s="168">
        <v>0</v>
      </c>
      <c r="AG140" s="168">
        <v>0</v>
      </c>
      <c r="AH140" s="174">
        <v>0</v>
      </c>
      <c r="AI140" s="174">
        <v>0</v>
      </c>
      <c r="AJ140" s="158">
        <f t="shared" si="72"/>
        <v>0</v>
      </c>
      <c r="AK140" s="172">
        <f t="shared" si="61"/>
        <v>0</v>
      </c>
    </row>
    <row r="141" spans="1:37" s="175" customFormat="1" ht="30" hidden="1" outlineLevel="1">
      <c r="A141" s="196"/>
      <c r="B141" s="180" t="s">
        <v>218</v>
      </c>
      <c r="C141" s="197">
        <v>40822</v>
      </c>
      <c r="D141" s="197">
        <v>40854</v>
      </c>
      <c r="E141" s="169" t="s">
        <v>203</v>
      </c>
      <c r="F141" s="169" t="s">
        <v>77</v>
      </c>
      <c r="G141" s="169">
        <v>14</v>
      </c>
      <c r="H141" s="169">
        <v>0</v>
      </c>
      <c r="I141" s="198" t="s">
        <v>78</v>
      </c>
      <c r="J141" s="158">
        <v>38</v>
      </c>
      <c r="K141" s="168">
        <v>10</v>
      </c>
      <c r="L141" s="168">
        <v>4</v>
      </c>
      <c r="M141" s="168">
        <v>2</v>
      </c>
      <c r="N141" s="168">
        <v>1</v>
      </c>
      <c r="O141" s="168">
        <v>5</v>
      </c>
      <c r="P141" s="119">
        <v>10</v>
      </c>
      <c r="Q141" s="119">
        <v>12</v>
      </c>
      <c r="R141" s="120">
        <f t="shared" si="70"/>
        <v>22</v>
      </c>
      <c r="S141" s="171">
        <f t="shared" si="67"/>
        <v>0.5789473684210527</v>
      </c>
      <c r="T141" s="168">
        <v>13</v>
      </c>
      <c r="U141" s="168">
        <v>0</v>
      </c>
      <c r="V141" s="168">
        <v>0</v>
      </c>
      <c r="W141" s="168">
        <v>2</v>
      </c>
      <c r="X141" s="168">
        <v>1</v>
      </c>
      <c r="Y141" s="119">
        <v>8</v>
      </c>
      <c r="Z141" s="119">
        <v>8</v>
      </c>
      <c r="AA141" s="183">
        <f t="shared" si="71"/>
        <v>16</v>
      </c>
      <c r="AB141" s="172">
        <f t="shared" si="65"/>
        <v>0.42105263157894735</v>
      </c>
      <c r="AC141" s="168">
        <v>0</v>
      </c>
      <c r="AD141" s="168">
        <v>0</v>
      </c>
      <c r="AE141" s="168">
        <v>0</v>
      </c>
      <c r="AF141" s="168">
        <v>0</v>
      </c>
      <c r="AG141" s="168">
        <v>0</v>
      </c>
      <c r="AH141" s="174">
        <v>0</v>
      </c>
      <c r="AI141" s="174">
        <v>0</v>
      </c>
      <c r="AJ141" s="158">
        <f t="shared" si="72"/>
        <v>0</v>
      </c>
      <c r="AK141" s="172">
        <f t="shared" si="61"/>
        <v>0</v>
      </c>
    </row>
    <row r="142" spans="1:37" s="175" customFormat="1" ht="30" hidden="1" outlineLevel="1">
      <c r="A142" s="196"/>
      <c r="B142" s="180" t="s">
        <v>168</v>
      </c>
      <c r="C142" s="197">
        <v>40822</v>
      </c>
      <c r="D142" s="197">
        <v>40854</v>
      </c>
      <c r="E142" s="169" t="s">
        <v>203</v>
      </c>
      <c r="F142" s="169" t="s">
        <v>122</v>
      </c>
      <c r="G142" s="169">
        <v>14</v>
      </c>
      <c r="H142" s="169">
        <v>0</v>
      </c>
      <c r="I142" s="198" t="s">
        <v>81</v>
      </c>
      <c r="J142" s="158">
        <v>25</v>
      </c>
      <c r="K142" s="168">
        <v>0</v>
      </c>
      <c r="L142" s="168">
        <v>17</v>
      </c>
      <c r="M142" s="168">
        <v>0</v>
      </c>
      <c r="N142" s="168">
        <v>0</v>
      </c>
      <c r="O142" s="168">
        <v>0</v>
      </c>
      <c r="P142" s="119">
        <v>5</v>
      </c>
      <c r="Q142" s="119">
        <v>12</v>
      </c>
      <c r="R142" s="120">
        <f t="shared" si="70"/>
        <v>17</v>
      </c>
      <c r="S142" s="171">
        <f t="shared" si="67"/>
        <v>0.68</v>
      </c>
      <c r="T142" s="168">
        <v>0</v>
      </c>
      <c r="U142" s="168">
        <v>8</v>
      </c>
      <c r="V142" s="168">
        <v>0</v>
      </c>
      <c r="W142" s="168">
        <v>0</v>
      </c>
      <c r="X142" s="168">
        <v>0</v>
      </c>
      <c r="Y142" s="119">
        <v>4</v>
      </c>
      <c r="Z142" s="119">
        <v>4</v>
      </c>
      <c r="AA142" s="183">
        <f t="shared" si="71"/>
        <v>8</v>
      </c>
      <c r="AB142" s="172">
        <f t="shared" si="65"/>
        <v>0.32</v>
      </c>
      <c r="AC142" s="168">
        <v>0</v>
      </c>
      <c r="AD142" s="168">
        <v>0</v>
      </c>
      <c r="AE142" s="168">
        <v>0</v>
      </c>
      <c r="AF142" s="168">
        <v>0</v>
      </c>
      <c r="AG142" s="168">
        <v>0</v>
      </c>
      <c r="AH142" s="174">
        <v>0</v>
      </c>
      <c r="AI142" s="174">
        <v>0</v>
      </c>
      <c r="AJ142" s="158">
        <f t="shared" si="72"/>
        <v>0</v>
      </c>
      <c r="AK142" s="172">
        <f t="shared" si="61"/>
        <v>0</v>
      </c>
    </row>
    <row r="143" spans="1:37" s="175" customFormat="1" ht="30" hidden="1" outlineLevel="1">
      <c r="A143" s="196"/>
      <c r="B143" s="180" t="s">
        <v>219</v>
      </c>
      <c r="C143" s="197">
        <v>40823</v>
      </c>
      <c r="D143" s="197">
        <v>40823</v>
      </c>
      <c r="E143" s="169" t="s">
        <v>203</v>
      </c>
      <c r="F143" s="169" t="s">
        <v>122</v>
      </c>
      <c r="G143" s="169">
        <v>7</v>
      </c>
      <c r="H143" s="169">
        <v>0</v>
      </c>
      <c r="I143" s="198" t="s">
        <v>83</v>
      </c>
      <c r="J143" s="158">
        <v>45</v>
      </c>
      <c r="K143" s="168">
        <v>26</v>
      </c>
      <c r="L143" s="168">
        <v>0</v>
      </c>
      <c r="M143" s="168">
        <v>0</v>
      </c>
      <c r="N143" s="168">
        <v>0</v>
      </c>
      <c r="O143" s="168">
        <v>0</v>
      </c>
      <c r="P143" s="119">
        <v>15</v>
      </c>
      <c r="Q143" s="119">
        <v>11</v>
      </c>
      <c r="R143" s="120">
        <f t="shared" si="70"/>
        <v>26</v>
      </c>
      <c r="S143" s="171">
        <f t="shared" si="67"/>
        <v>0.5777777777777777</v>
      </c>
      <c r="T143" s="168">
        <v>19</v>
      </c>
      <c r="U143" s="168">
        <v>0</v>
      </c>
      <c r="V143" s="168">
        <v>0</v>
      </c>
      <c r="W143" s="168">
        <v>0</v>
      </c>
      <c r="X143" s="168">
        <v>0</v>
      </c>
      <c r="Y143" s="119">
        <v>11</v>
      </c>
      <c r="Z143" s="119">
        <v>8</v>
      </c>
      <c r="AA143" s="183">
        <f t="shared" si="71"/>
        <v>19</v>
      </c>
      <c r="AB143" s="172">
        <f t="shared" si="65"/>
        <v>0.4222222222222222</v>
      </c>
      <c r="AC143" s="168">
        <v>0</v>
      </c>
      <c r="AD143" s="168">
        <v>0</v>
      </c>
      <c r="AE143" s="168">
        <v>0</v>
      </c>
      <c r="AF143" s="168">
        <v>0</v>
      </c>
      <c r="AG143" s="168">
        <v>0</v>
      </c>
      <c r="AH143" s="174">
        <v>0</v>
      </c>
      <c r="AI143" s="174">
        <v>0</v>
      </c>
      <c r="AJ143" s="158">
        <f t="shared" si="72"/>
        <v>0</v>
      </c>
      <c r="AK143" s="172">
        <f t="shared" si="61"/>
        <v>0</v>
      </c>
    </row>
    <row r="144" spans="1:37" s="175" customFormat="1" ht="30" hidden="1" outlineLevel="1">
      <c r="A144" s="196"/>
      <c r="B144" s="180" t="s">
        <v>220</v>
      </c>
      <c r="C144" s="197">
        <v>40826</v>
      </c>
      <c r="D144" s="197">
        <v>40830</v>
      </c>
      <c r="E144" s="169" t="s">
        <v>203</v>
      </c>
      <c r="F144" s="169" t="s">
        <v>122</v>
      </c>
      <c r="G144" s="169">
        <v>35</v>
      </c>
      <c r="H144" s="169">
        <v>0</v>
      </c>
      <c r="I144" s="198" t="s">
        <v>83</v>
      </c>
      <c r="J144" s="158">
        <v>19</v>
      </c>
      <c r="K144" s="168">
        <v>9</v>
      </c>
      <c r="L144" s="168">
        <v>0</v>
      </c>
      <c r="M144" s="168">
        <v>3</v>
      </c>
      <c r="N144" s="168">
        <v>0</v>
      </c>
      <c r="O144" s="168">
        <v>2</v>
      </c>
      <c r="P144" s="119">
        <v>11</v>
      </c>
      <c r="Q144" s="119">
        <v>3</v>
      </c>
      <c r="R144" s="120">
        <f t="shared" si="70"/>
        <v>14</v>
      </c>
      <c r="S144" s="171">
        <f t="shared" si="67"/>
        <v>0.7368421052631579</v>
      </c>
      <c r="T144" s="168">
        <v>0</v>
      </c>
      <c r="U144" s="168">
        <v>0</v>
      </c>
      <c r="V144" s="168">
        <v>5</v>
      </c>
      <c r="W144" s="168">
        <v>0</v>
      </c>
      <c r="X144" s="168">
        <v>0</v>
      </c>
      <c r="Y144" s="119">
        <v>1</v>
      </c>
      <c r="Z144" s="119">
        <v>4</v>
      </c>
      <c r="AA144" s="183">
        <f t="shared" si="71"/>
        <v>5</v>
      </c>
      <c r="AB144" s="172">
        <f t="shared" si="65"/>
        <v>0.2631578947368421</v>
      </c>
      <c r="AC144" s="168">
        <v>0</v>
      </c>
      <c r="AD144" s="168">
        <v>0</v>
      </c>
      <c r="AE144" s="168">
        <v>0</v>
      </c>
      <c r="AF144" s="168">
        <v>0</v>
      </c>
      <c r="AG144" s="168">
        <v>0</v>
      </c>
      <c r="AH144" s="174">
        <v>0</v>
      </c>
      <c r="AI144" s="174">
        <v>0</v>
      </c>
      <c r="AJ144" s="158">
        <f t="shared" si="72"/>
        <v>0</v>
      </c>
      <c r="AK144" s="172">
        <f t="shared" si="61"/>
        <v>0</v>
      </c>
    </row>
    <row r="145" spans="1:37" s="175" customFormat="1" ht="30" hidden="1" outlineLevel="1">
      <c r="A145" s="196"/>
      <c r="B145" s="180" t="s">
        <v>221</v>
      </c>
      <c r="C145" s="197">
        <v>40829</v>
      </c>
      <c r="D145" s="197">
        <v>40830</v>
      </c>
      <c r="E145" s="169" t="s">
        <v>203</v>
      </c>
      <c r="F145" s="169" t="s">
        <v>122</v>
      </c>
      <c r="G145" s="169">
        <v>14</v>
      </c>
      <c r="H145" s="169">
        <v>0</v>
      </c>
      <c r="I145" s="198" t="s">
        <v>81</v>
      </c>
      <c r="J145" s="158">
        <v>36</v>
      </c>
      <c r="K145" s="168">
        <v>0</v>
      </c>
      <c r="L145" s="168">
        <v>0</v>
      </c>
      <c r="M145" s="168">
        <v>20</v>
      </c>
      <c r="N145" s="168">
        <v>0</v>
      </c>
      <c r="O145" s="168">
        <v>0</v>
      </c>
      <c r="P145" s="119">
        <v>13</v>
      </c>
      <c r="Q145" s="119">
        <v>7</v>
      </c>
      <c r="R145" s="120">
        <f t="shared" si="70"/>
        <v>20</v>
      </c>
      <c r="S145" s="171">
        <f t="shared" si="67"/>
        <v>0.5555555555555556</v>
      </c>
      <c r="T145" s="168">
        <v>0</v>
      </c>
      <c r="U145" s="168">
        <v>0</v>
      </c>
      <c r="V145" s="168">
        <v>16</v>
      </c>
      <c r="W145" s="168">
        <v>0</v>
      </c>
      <c r="X145" s="168">
        <v>0</v>
      </c>
      <c r="Y145" s="119">
        <v>9</v>
      </c>
      <c r="Z145" s="119">
        <v>7</v>
      </c>
      <c r="AA145" s="183">
        <f t="shared" si="71"/>
        <v>16</v>
      </c>
      <c r="AB145" s="172">
        <f t="shared" si="65"/>
        <v>0.4444444444444444</v>
      </c>
      <c r="AC145" s="168">
        <v>0</v>
      </c>
      <c r="AD145" s="168">
        <v>0</v>
      </c>
      <c r="AE145" s="168">
        <v>0</v>
      </c>
      <c r="AF145" s="168">
        <v>0</v>
      </c>
      <c r="AG145" s="168">
        <v>0</v>
      </c>
      <c r="AH145" s="174">
        <v>0</v>
      </c>
      <c r="AI145" s="174">
        <v>0</v>
      </c>
      <c r="AJ145" s="158">
        <f t="shared" si="72"/>
        <v>0</v>
      </c>
      <c r="AK145" s="172">
        <f t="shared" si="61"/>
        <v>0</v>
      </c>
    </row>
    <row r="146" spans="1:37" s="175" customFormat="1" ht="30" hidden="1" outlineLevel="1">
      <c r="A146" s="196"/>
      <c r="B146" s="180" t="s">
        <v>222</v>
      </c>
      <c r="C146" s="197">
        <v>40834</v>
      </c>
      <c r="D146" s="197">
        <v>40834</v>
      </c>
      <c r="E146" s="169" t="s">
        <v>203</v>
      </c>
      <c r="F146" s="169" t="s">
        <v>122</v>
      </c>
      <c r="G146" s="169">
        <v>7</v>
      </c>
      <c r="H146" s="169">
        <v>0</v>
      </c>
      <c r="I146" s="198" t="s">
        <v>78</v>
      </c>
      <c r="J146" s="158">
        <v>41</v>
      </c>
      <c r="K146" s="168">
        <v>10</v>
      </c>
      <c r="L146" s="168">
        <v>8</v>
      </c>
      <c r="M146" s="168">
        <v>0</v>
      </c>
      <c r="N146" s="168">
        <v>17</v>
      </c>
      <c r="O146" s="168">
        <v>1</v>
      </c>
      <c r="P146" s="119">
        <v>17</v>
      </c>
      <c r="Q146" s="119">
        <v>19</v>
      </c>
      <c r="R146" s="120">
        <f t="shared" si="70"/>
        <v>36</v>
      </c>
      <c r="S146" s="171">
        <f t="shared" si="67"/>
        <v>0.8780487804878049</v>
      </c>
      <c r="T146" s="168">
        <v>1</v>
      </c>
      <c r="U146" s="168">
        <v>1</v>
      </c>
      <c r="V146" s="168">
        <v>1</v>
      </c>
      <c r="W146" s="168">
        <v>1</v>
      </c>
      <c r="X146" s="168">
        <v>1</v>
      </c>
      <c r="Y146" s="119">
        <v>6</v>
      </c>
      <c r="Z146" s="119">
        <v>8</v>
      </c>
      <c r="AA146" s="183">
        <f t="shared" si="71"/>
        <v>5</v>
      </c>
      <c r="AB146" s="172">
        <f t="shared" si="65"/>
        <v>0.12195121951219512</v>
      </c>
      <c r="AC146" s="168">
        <v>0</v>
      </c>
      <c r="AD146" s="168">
        <v>0</v>
      </c>
      <c r="AE146" s="168">
        <v>0</v>
      </c>
      <c r="AF146" s="168">
        <v>0</v>
      </c>
      <c r="AG146" s="168">
        <v>0</v>
      </c>
      <c r="AH146" s="174">
        <v>0</v>
      </c>
      <c r="AI146" s="174">
        <v>0</v>
      </c>
      <c r="AJ146" s="158">
        <f t="shared" si="72"/>
        <v>0</v>
      </c>
      <c r="AK146" s="172">
        <f t="shared" si="61"/>
        <v>0</v>
      </c>
    </row>
    <row r="147" spans="1:37" s="175" customFormat="1" ht="30" hidden="1" outlineLevel="1">
      <c r="A147" s="196"/>
      <c r="B147" s="180" t="s">
        <v>223</v>
      </c>
      <c r="C147" s="197">
        <v>40837</v>
      </c>
      <c r="D147" s="197">
        <v>40837</v>
      </c>
      <c r="E147" s="169" t="s">
        <v>203</v>
      </c>
      <c r="F147" s="169" t="s">
        <v>122</v>
      </c>
      <c r="G147" s="169">
        <v>7</v>
      </c>
      <c r="H147" s="169">
        <v>0</v>
      </c>
      <c r="I147" s="198" t="s">
        <v>78</v>
      </c>
      <c r="J147" s="158">
        <v>41</v>
      </c>
      <c r="K147" s="168">
        <v>22</v>
      </c>
      <c r="L147" s="168">
        <v>0</v>
      </c>
      <c r="M147" s="168">
        <v>0</v>
      </c>
      <c r="N147" s="168">
        <v>13</v>
      </c>
      <c r="O147" s="168">
        <v>4</v>
      </c>
      <c r="P147" s="119">
        <v>19</v>
      </c>
      <c r="Q147" s="119">
        <v>20</v>
      </c>
      <c r="R147" s="120">
        <f t="shared" si="70"/>
        <v>39</v>
      </c>
      <c r="S147" s="171">
        <f t="shared" si="67"/>
        <v>0.9512195121951219</v>
      </c>
      <c r="T147" s="168">
        <v>1</v>
      </c>
      <c r="U147" s="168">
        <v>0</v>
      </c>
      <c r="V147" s="168">
        <v>0</v>
      </c>
      <c r="W147" s="168">
        <v>1</v>
      </c>
      <c r="X147" s="168">
        <v>0</v>
      </c>
      <c r="Y147" s="119">
        <v>1</v>
      </c>
      <c r="Z147" s="119">
        <v>1</v>
      </c>
      <c r="AA147" s="183">
        <f t="shared" si="71"/>
        <v>2</v>
      </c>
      <c r="AB147" s="172">
        <f t="shared" si="65"/>
        <v>0.04878048780487805</v>
      </c>
      <c r="AC147" s="168">
        <v>0</v>
      </c>
      <c r="AD147" s="168">
        <v>0</v>
      </c>
      <c r="AE147" s="168">
        <v>0</v>
      </c>
      <c r="AF147" s="168">
        <v>0</v>
      </c>
      <c r="AG147" s="168">
        <v>0</v>
      </c>
      <c r="AH147" s="174">
        <v>0</v>
      </c>
      <c r="AI147" s="174">
        <v>0</v>
      </c>
      <c r="AJ147" s="158">
        <f t="shared" si="72"/>
        <v>0</v>
      </c>
      <c r="AK147" s="172">
        <f t="shared" si="61"/>
        <v>0</v>
      </c>
    </row>
    <row r="148" spans="1:37" s="175" customFormat="1" ht="45" hidden="1" outlineLevel="1">
      <c r="A148" s="196"/>
      <c r="B148" s="180" t="s">
        <v>224</v>
      </c>
      <c r="C148" s="197">
        <v>40837</v>
      </c>
      <c r="D148" s="197">
        <v>40837</v>
      </c>
      <c r="E148" s="169" t="s">
        <v>203</v>
      </c>
      <c r="F148" s="169" t="s">
        <v>122</v>
      </c>
      <c r="G148" s="169">
        <v>7</v>
      </c>
      <c r="H148" s="169">
        <v>0</v>
      </c>
      <c r="I148" s="198" t="s">
        <v>85</v>
      </c>
      <c r="J148" s="158">
        <v>21</v>
      </c>
      <c r="K148" s="168">
        <v>14</v>
      </c>
      <c r="L148" s="168">
        <v>0</v>
      </c>
      <c r="M148" s="168">
        <v>0</v>
      </c>
      <c r="N148" s="168">
        <v>0</v>
      </c>
      <c r="O148" s="168">
        <v>0</v>
      </c>
      <c r="P148" s="119">
        <v>8</v>
      </c>
      <c r="Q148" s="119">
        <v>6</v>
      </c>
      <c r="R148" s="120">
        <f t="shared" si="70"/>
        <v>14</v>
      </c>
      <c r="S148" s="171">
        <f t="shared" si="67"/>
        <v>0.6666666666666666</v>
      </c>
      <c r="T148" s="168">
        <v>3</v>
      </c>
      <c r="U148" s="168">
        <v>0</v>
      </c>
      <c r="V148" s="168">
        <v>4</v>
      </c>
      <c r="W148" s="168">
        <v>0</v>
      </c>
      <c r="X148" s="168">
        <v>0</v>
      </c>
      <c r="Y148" s="119">
        <v>1</v>
      </c>
      <c r="Z148" s="119">
        <v>6</v>
      </c>
      <c r="AA148" s="183">
        <f t="shared" si="71"/>
        <v>7</v>
      </c>
      <c r="AB148" s="172">
        <f t="shared" si="65"/>
        <v>0.3333333333333333</v>
      </c>
      <c r="AC148" s="168">
        <v>0</v>
      </c>
      <c r="AD148" s="168">
        <v>0</v>
      </c>
      <c r="AE148" s="168">
        <v>0</v>
      </c>
      <c r="AF148" s="168">
        <v>0</v>
      </c>
      <c r="AG148" s="168">
        <v>0</v>
      </c>
      <c r="AH148" s="174">
        <v>0</v>
      </c>
      <c r="AI148" s="174">
        <v>0</v>
      </c>
      <c r="AJ148" s="158">
        <f t="shared" si="72"/>
        <v>0</v>
      </c>
      <c r="AK148" s="172">
        <f t="shared" si="61"/>
        <v>0</v>
      </c>
    </row>
    <row r="149" spans="1:37" s="175" customFormat="1" ht="30" hidden="1" outlineLevel="1">
      <c r="A149" s="196"/>
      <c r="B149" s="180" t="s">
        <v>225</v>
      </c>
      <c r="C149" s="197">
        <v>40828</v>
      </c>
      <c r="D149" s="197">
        <v>40842</v>
      </c>
      <c r="E149" s="169" t="s">
        <v>203</v>
      </c>
      <c r="F149" s="169" t="s">
        <v>122</v>
      </c>
      <c r="G149" s="169">
        <v>15</v>
      </c>
      <c r="H149" s="169">
        <v>0</v>
      </c>
      <c r="I149" s="198" t="s">
        <v>89</v>
      </c>
      <c r="J149" s="158">
        <v>31</v>
      </c>
      <c r="K149" s="168">
        <v>3</v>
      </c>
      <c r="L149" s="168">
        <v>0</v>
      </c>
      <c r="M149" s="168">
        <v>0</v>
      </c>
      <c r="N149" s="168">
        <v>0</v>
      </c>
      <c r="O149" s="168">
        <v>16</v>
      </c>
      <c r="P149" s="119">
        <v>13</v>
      </c>
      <c r="Q149" s="119">
        <v>6</v>
      </c>
      <c r="R149" s="120">
        <f t="shared" si="70"/>
        <v>19</v>
      </c>
      <c r="S149" s="171">
        <f t="shared" si="67"/>
        <v>0.6129032258064516</v>
      </c>
      <c r="T149" s="168">
        <v>2</v>
      </c>
      <c r="U149" s="168">
        <v>0</v>
      </c>
      <c r="V149" s="168">
        <v>1</v>
      </c>
      <c r="W149" s="168">
        <v>0</v>
      </c>
      <c r="X149" s="168">
        <v>9</v>
      </c>
      <c r="Y149" s="119">
        <v>7</v>
      </c>
      <c r="Z149" s="119">
        <v>5</v>
      </c>
      <c r="AA149" s="183">
        <f t="shared" si="71"/>
        <v>12</v>
      </c>
      <c r="AB149" s="172">
        <f t="shared" si="65"/>
        <v>0.3870967741935484</v>
      </c>
      <c r="AC149" s="168">
        <v>0</v>
      </c>
      <c r="AD149" s="168">
        <v>0</v>
      </c>
      <c r="AE149" s="168">
        <v>0</v>
      </c>
      <c r="AF149" s="168">
        <v>0</v>
      </c>
      <c r="AG149" s="168">
        <v>0</v>
      </c>
      <c r="AH149" s="174">
        <v>0</v>
      </c>
      <c r="AI149" s="174">
        <v>0</v>
      </c>
      <c r="AJ149" s="158">
        <f t="shared" si="72"/>
        <v>0</v>
      </c>
      <c r="AK149" s="172">
        <f t="shared" si="61"/>
        <v>0</v>
      </c>
    </row>
    <row r="150" spans="1:37" s="175" customFormat="1" ht="30" hidden="1" outlineLevel="1">
      <c r="A150" s="196"/>
      <c r="B150" s="180" t="s">
        <v>226</v>
      </c>
      <c r="C150" s="197">
        <v>40847</v>
      </c>
      <c r="D150" s="197">
        <v>40847</v>
      </c>
      <c r="E150" s="169" t="s">
        <v>203</v>
      </c>
      <c r="F150" s="169" t="s">
        <v>122</v>
      </c>
      <c r="G150" s="169">
        <v>7</v>
      </c>
      <c r="H150" s="169">
        <v>0</v>
      </c>
      <c r="I150" s="198" t="s">
        <v>78</v>
      </c>
      <c r="J150" s="158">
        <v>40</v>
      </c>
      <c r="K150" s="168">
        <v>5</v>
      </c>
      <c r="L150" s="168">
        <v>9</v>
      </c>
      <c r="M150" s="168">
        <v>0</v>
      </c>
      <c r="N150" s="168">
        <v>12</v>
      </c>
      <c r="O150" s="168">
        <v>0</v>
      </c>
      <c r="P150" s="119">
        <v>16</v>
      </c>
      <c r="Q150" s="119">
        <v>10</v>
      </c>
      <c r="R150" s="120">
        <f t="shared" si="70"/>
        <v>26</v>
      </c>
      <c r="S150" s="171">
        <f t="shared" si="67"/>
        <v>0.65</v>
      </c>
      <c r="T150" s="168">
        <v>9</v>
      </c>
      <c r="U150" s="168">
        <v>1</v>
      </c>
      <c r="V150" s="168">
        <v>0</v>
      </c>
      <c r="W150" s="168">
        <v>4</v>
      </c>
      <c r="X150" s="168">
        <v>0</v>
      </c>
      <c r="Y150" s="119">
        <v>7</v>
      </c>
      <c r="Z150" s="119">
        <v>7</v>
      </c>
      <c r="AA150" s="183">
        <f t="shared" si="71"/>
        <v>14</v>
      </c>
      <c r="AB150" s="172">
        <f t="shared" si="65"/>
        <v>0.35</v>
      </c>
      <c r="AC150" s="168">
        <v>0</v>
      </c>
      <c r="AD150" s="168">
        <v>0</v>
      </c>
      <c r="AE150" s="168">
        <v>0</v>
      </c>
      <c r="AF150" s="168">
        <v>0</v>
      </c>
      <c r="AG150" s="168">
        <v>0</v>
      </c>
      <c r="AH150" s="174">
        <v>0</v>
      </c>
      <c r="AI150" s="174">
        <v>0</v>
      </c>
      <c r="AJ150" s="158">
        <f t="shared" si="72"/>
        <v>0</v>
      </c>
      <c r="AK150" s="172">
        <f t="shared" si="61"/>
        <v>0</v>
      </c>
    </row>
    <row r="151" spans="1:37" s="175" customFormat="1" ht="30" hidden="1" outlineLevel="1">
      <c r="A151" s="196"/>
      <c r="B151" s="180" t="s">
        <v>227</v>
      </c>
      <c r="C151" s="197">
        <v>40848</v>
      </c>
      <c r="D151" s="197">
        <v>40848</v>
      </c>
      <c r="E151" s="169" t="s">
        <v>203</v>
      </c>
      <c r="F151" s="169" t="s">
        <v>122</v>
      </c>
      <c r="G151" s="169">
        <v>7</v>
      </c>
      <c r="H151" s="169">
        <v>0</v>
      </c>
      <c r="I151" s="198" t="s">
        <v>78</v>
      </c>
      <c r="J151" s="158">
        <v>49</v>
      </c>
      <c r="K151" s="168">
        <v>20</v>
      </c>
      <c r="L151" s="168">
        <v>4</v>
      </c>
      <c r="M151" s="168">
        <v>0</v>
      </c>
      <c r="N151" s="168">
        <v>15</v>
      </c>
      <c r="O151" s="168">
        <v>1</v>
      </c>
      <c r="P151" s="119">
        <v>12</v>
      </c>
      <c r="Q151" s="119">
        <v>28</v>
      </c>
      <c r="R151" s="120">
        <f t="shared" si="70"/>
        <v>40</v>
      </c>
      <c r="S151" s="171">
        <f t="shared" si="67"/>
        <v>0.8163265306122449</v>
      </c>
      <c r="T151" s="168">
        <v>6</v>
      </c>
      <c r="U151" s="168">
        <v>2</v>
      </c>
      <c r="V151" s="168">
        <v>0</v>
      </c>
      <c r="W151" s="168">
        <v>1</v>
      </c>
      <c r="X151" s="168">
        <v>0</v>
      </c>
      <c r="Y151" s="119">
        <v>5</v>
      </c>
      <c r="Z151" s="119">
        <v>4</v>
      </c>
      <c r="AA151" s="183">
        <f t="shared" si="71"/>
        <v>9</v>
      </c>
      <c r="AB151" s="172">
        <f t="shared" si="65"/>
        <v>0.1836734693877551</v>
      </c>
      <c r="AC151" s="168">
        <v>0</v>
      </c>
      <c r="AD151" s="168">
        <v>0</v>
      </c>
      <c r="AE151" s="168">
        <v>0</v>
      </c>
      <c r="AF151" s="168">
        <v>0</v>
      </c>
      <c r="AG151" s="168">
        <v>0</v>
      </c>
      <c r="AH151" s="174">
        <v>0</v>
      </c>
      <c r="AI151" s="174">
        <v>0</v>
      </c>
      <c r="AJ151" s="158">
        <f t="shared" si="72"/>
        <v>0</v>
      </c>
      <c r="AK151" s="172">
        <f t="shared" si="61"/>
        <v>0</v>
      </c>
    </row>
    <row r="152" spans="1:37" s="175" customFormat="1" ht="30" hidden="1" outlineLevel="1">
      <c r="A152" s="196"/>
      <c r="B152" s="180" t="s">
        <v>228</v>
      </c>
      <c r="C152" s="197">
        <v>40854</v>
      </c>
      <c r="D152" s="197">
        <v>40875</v>
      </c>
      <c r="E152" s="169" t="s">
        <v>203</v>
      </c>
      <c r="F152" s="169" t="s">
        <v>122</v>
      </c>
      <c r="G152" s="169">
        <v>15</v>
      </c>
      <c r="H152" s="169">
        <v>0</v>
      </c>
      <c r="I152" s="198" t="s">
        <v>89</v>
      </c>
      <c r="J152" s="158">
        <v>27</v>
      </c>
      <c r="K152" s="168">
        <v>0</v>
      </c>
      <c r="L152" s="168">
        <v>0</v>
      </c>
      <c r="M152" s="168">
        <v>0</v>
      </c>
      <c r="N152" s="168">
        <v>0</v>
      </c>
      <c r="O152" s="168">
        <v>18</v>
      </c>
      <c r="P152" s="119">
        <v>15</v>
      </c>
      <c r="Q152" s="119">
        <v>3</v>
      </c>
      <c r="R152" s="120">
        <f t="shared" si="70"/>
        <v>18</v>
      </c>
      <c r="S152" s="171">
        <f t="shared" si="67"/>
        <v>0.6666666666666666</v>
      </c>
      <c r="T152" s="168">
        <v>1</v>
      </c>
      <c r="U152" s="168">
        <v>0</v>
      </c>
      <c r="V152" s="168">
        <v>0</v>
      </c>
      <c r="W152" s="168">
        <v>0</v>
      </c>
      <c r="X152" s="168">
        <v>8</v>
      </c>
      <c r="Y152" s="119">
        <v>6</v>
      </c>
      <c r="Z152" s="119">
        <v>3</v>
      </c>
      <c r="AA152" s="183">
        <f t="shared" si="71"/>
        <v>9</v>
      </c>
      <c r="AB152" s="172">
        <f t="shared" si="65"/>
        <v>0.3333333333333333</v>
      </c>
      <c r="AC152" s="168">
        <v>0</v>
      </c>
      <c r="AD152" s="168">
        <v>0</v>
      </c>
      <c r="AE152" s="168">
        <v>0</v>
      </c>
      <c r="AF152" s="168">
        <v>0</v>
      </c>
      <c r="AG152" s="168">
        <v>0</v>
      </c>
      <c r="AH152" s="174">
        <v>0</v>
      </c>
      <c r="AI152" s="174">
        <v>0</v>
      </c>
      <c r="AJ152" s="158">
        <f t="shared" si="72"/>
        <v>0</v>
      </c>
      <c r="AK152" s="172">
        <f t="shared" si="61"/>
        <v>0</v>
      </c>
    </row>
    <row r="153" spans="1:37" s="175" customFormat="1" ht="45" hidden="1" outlineLevel="1">
      <c r="A153" s="196"/>
      <c r="B153" s="180" t="s">
        <v>229</v>
      </c>
      <c r="C153" s="197">
        <v>40851</v>
      </c>
      <c r="D153" s="197">
        <v>40851</v>
      </c>
      <c r="E153" s="169" t="s">
        <v>203</v>
      </c>
      <c r="F153" s="169" t="s">
        <v>122</v>
      </c>
      <c r="G153" s="169">
        <v>7</v>
      </c>
      <c r="H153" s="169">
        <v>0</v>
      </c>
      <c r="I153" s="198" t="s">
        <v>85</v>
      </c>
      <c r="J153" s="158">
        <v>81</v>
      </c>
      <c r="K153" s="168">
        <v>33</v>
      </c>
      <c r="L153" s="168">
        <v>0</v>
      </c>
      <c r="M153" s="168">
        <v>0</v>
      </c>
      <c r="N153" s="168">
        <v>0</v>
      </c>
      <c r="O153" s="168">
        <v>0</v>
      </c>
      <c r="P153" s="119">
        <v>15</v>
      </c>
      <c r="Q153" s="119">
        <v>18</v>
      </c>
      <c r="R153" s="120">
        <f t="shared" si="70"/>
        <v>33</v>
      </c>
      <c r="S153" s="171">
        <f t="shared" si="67"/>
        <v>0.4074074074074074</v>
      </c>
      <c r="T153" s="168">
        <v>48</v>
      </c>
      <c r="U153" s="168">
        <v>0</v>
      </c>
      <c r="V153" s="168">
        <v>0</v>
      </c>
      <c r="W153" s="168">
        <v>0</v>
      </c>
      <c r="X153" s="168">
        <v>0</v>
      </c>
      <c r="Y153" s="119">
        <v>22</v>
      </c>
      <c r="Z153" s="119">
        <v>26</v>
      </c>
      <c r="AA153" s="183">
        <f t="shared" si="71"/>
        <v>48</v>
      </c>
      <c r="AB153" s="172">
        <f t="shared" si="65"/>
        <v>0.5925925925925926</v>
      </c>
      <c r="AC153" s="168">
        <v>0</v>
      </c>
      <c r="AD153" s="168">
        <v>0</v>
      </c>
      <c r="AE153" s="168">
        <v>0</v>
      </c>
      <c r="AF153" s="168">
        <v>0</v>
      </c>
      <c r="AG153" s="168">
        <v>0</v>
      </c>
      <c r="AH153" s="174">
        <v>0</v>
      </c>
      <c r="AI153" s="174">
        <v>0</v>
      </c>
      <c r="AJ153" s="158">
        <f t="shared" si="72"/>
        <v>0</v>
      </c>
      <c r="AK153" s="172">
        <f t="shared" si="61"/>
        <v>0</v>
      </c>
    </row>
    <row r="154" spans="1:37" s="175" customFormat="1" ht="30" hidden="1" outlineLevel="1">
      <c r="A154" s="196"/>
      <c r="B154" s="180" t="s">
        <v>230</v>
      </c>
      <c r="C154" s="197">
        <v>40863</v>
      </c>
      <c r="D154" s="197">
        <v>40865</v>
      </c>
      <c r="E154" s="169" t="s">
        <v>203</v>
      </c>
      <c r="F154" s="169" t="s">
        <v>129</v>
      </c>
      <c r="G154" s="169">
        <v>21</v>
      </c>
      <c r="H154" s="169">
        <v>0</v>
      </c>
      <c r="I154" s="198" t="s">
        <v>81</v>
      </c>
      <c r="J154" s="158">
        <v>23</v>
      </c>
      <c r="K154" s="168">
        <v>0</v>
      </c>
      <c r="L154" s="168">
        <v>7</v>
      </c>
      <c r="M154" s="168">
        <v>7</v>
      </c>
      <c r="N154" s="168">
        <v>0</v>
      </c>
      <c r="O154" s="168">
        <v>0</v>
      </c>
      <c r="P154" s="119">
        <v>6</v>
      </c>
      <c r="Q154" s="119">
        <v>8</v>
      </c>
      <c r="R154" s="120">
        <f t="shared" si="70"/>
        <v>14</v>
      </c>
      <c r="S154" s="171">
        <f t="shared" si="67"/>
        <v>0.6086956521739131</v>
      </c>
      <c r="T154" s="168">
        <v>0</v>
      </c>
      <c r="U154" s="168">
        <v>5</v>
      </c>
      <c r="V154" s="168">
        <v>4</v>
      </c>
      <c r="W154" s="168">
        <v>0</v>
      </c>
      <c r="X154" s="168">
        <v>0</v>
      </c>
      <c r="Y154" s="119">
        <v>5</v>
      </c>
      <c r="Z154" s="119">
        <v>4</v>
      </c>
      <c r="AA154" s="183">
        <f t="shared" si="71"/>
        <v>9</v>
      </c>
      <c r="AB154" s="172">
        <f t="shared" si="65"/>
        <v>0.391304347826087</v>
      </c>
      <c r="AC154" s="168">
        <v>0</v>
      </c>
      <c r="AD154" s="168">
        <v>0</v>
      </c>
      <c r="AE154" s="168">
        <v>0</v>
      </c>
      <c r="AF154" s="168">
        <v>0</v>
      </c>
      <c r="AG154" s="168">
        <v>0</v>
      </c>
      <c r="AH154" s="174">
        <v>0</v>
      </c>
      <c r="AI154" s="174">
        <v>0</v>
      </c>
      <c r="AJ154" s="158">
        <f t="shared" si="72"/>
        <v>0</v>
      </c>
      <c r="AK154" s="172">
        <f t="shared" si="61"/>
        <v>0</v>
      </c>
    </row>
    <row r="155" spans="1:37" s="175" customFormat="1" ht="30" hidden="1" outlineLevel="1">
      <c r="A155" s="196"/>
      <c r="B155" s="180" t="s">
        <v>231</v>
      </c>
      <c r="C155" s="197">
        <v>40876</v>
      </c>
      <c r="D155" s="197">
        <v>40877</v>
      </c>
      <c r="E155" s="169" t="s">
        <v>203</v>
      </c>
      <c r="F155" s="169" t="s">
        <v>122</v>
      </c>
      <c r="G155" s="169">
        <v>14</v>
      </c>
      <c r="H155" s="169">
        <v>0</v>
      </c>
      <c r="I155" s="198" t="s">
        <v>78</v>
      </c>
      <c r="J155" s="158">
        <v>41</v>
      </c>
      <c r="K155" s="168">
        <v>16</v>
      </c>
      <c r="L155" s="168">
        <v>0</v>
      </c>
      <c r="M155" s="168">
        <v>10</v>
      </c>
      <c r="N155" s="168">
        <v>0</v>
      </c>
      <c r="O155" s="168">
        <v>0</v>
      </c>
      <c r="P155" s="119">
        <v>17</v>
      </c>
      <c r="Q155" s="119">
        <v>9</v>
      </c>
      <c r="R155" s="120">
        <f t="shared" si="70"/>
        <v>26</v>
      </c>
      <c r="S155" s="171">
        <f t="shared" si="67"/>
        <v>0.6341463414634146</v>
      </c>
      <c r="T155" s="168">
        <v>15</v>
      </c>
      <c r="U155" s="168">
        <v>0</v>
      </c>
      <c r="V155" s="168">
        <v>0</v>
      </c>
      <c r="W155" s="168">
        <v>0</v>
      </c>
      <c r="X155" s="168">
        <v>0</v>
      </c>
      <c r="Y155" s="119">
        <v>11</v>
      </c>
      <c r="Z155" s="119">
        <v>3</v>
      </c>
      <c r="AA155" s="183">
        <f t="shared" si="71"/>
        <v>15</v>
      </c>
      <c r="AB155" s="172">
        <f t="shared" si="65"/>
        <v>0.36585365853658536</v>
      </c>
      <c r="AC155" s="168">
        <v>0</v>
      </c>
      <c r="AD155" s="168">
        <v>0</v>
      </c>
      <c r="AE155" s="168">
        <v>0</v>
      </c>
      <c r="AF155" s="168">
        <v>0</v>
      </c>
      <c r="AG155" s="168">
        <v>0</v>
      </c>
      <c r="AH155" s="174">
        <v>0</v>
      </c>
      <c r="AI155" s="174">
        <v>0</v>
      </c>
      <c r="AJ155" s="158">
        <f t="shared" si="72"/>
        <v>0</v>
      </c>
      <c r="AK155" s="172">
        <f t="shared" si="61"/>
        <v>0</v>
      </c>
    </row>
    <row r="156" spans="1:37" s="175" customFormat="1" ht="30" hidden="1" outlineLevel="1">
      <c r="A156" s="196"/>
      <c r="B156" s="180" t="s">
        <v>232</v>
      </c>
      <c r="C156" s="197">
        <v>40844</v>
      </c>
      <c r="D156" s="197">
        <v>40844</v>
      </c>
      <c r="E156" s="169" t="s">
        <v>203</v>
      </c>
      <c r="F156" s="169" t="s">
        <v>233</v>
      </c>
      <c r="G156" s="169">
        <v>7</v>
      </c>
      <c r="H156" s="169">
        <v>0</v>
      </c>
      <c r="I156" s="198" t="s">
        <v>83</v>
      </c>
      <c r="J156" s="158">
        <v>10</v>
      </c>
      <c r="K156" s="168">
        <v>0</v>
      </c>
      <c r="L156" s="168">
        <v>0</v>
      </c>
      <c r="M156" s="168">
        <v>0</v>
      </c>
      <c r="N156" s="168">
        <v>0</v>
      </c>
      <c r="O156" s="168">
        <v>10</v>
      </c>
      <c r="P156" s="119">
        <v>5</v>
      </c>
      <c r="Q156" s="119">
        <v>5</v>
      </c>
      <c r="R156" s="120">
        <f t="shared" si="70"/>
        <v>10</v>
      </c>
      <c r="S156" s="171">
        <f t="shared" si="67"/>
        <v>1</v>
      </c>
      <c r="T156" s="168">
        <v>0</v>
      </c>
      <c r="U156" s="168">
        <v>0</v>
      </c>
      <c r="V156" s="168">
        <v>0</v>
      </c>
      <c r="W156" s="168">
        <v>0</v>
      </c>
      <c r="X156" s="168">
        <v>0</v>
      </c>
      <c r="Y156" s="119">
        <v>0</v>
      </c>
      <c r="Z156" s="119">
        <v>0</v>
      </c>
      <c r="AA156" s="183">
        <f t="shared" si="71"/>
        <v>0</v>
      </c>
      <c r="AB156" s="172">
        <f t="shared" si="65"/>
        <v>0</v>
      </c>
      <c r="AC156" s="168">
        <v>0</v>
      </c>
      <c r="AD156" s="168">
        <v>0</v>
      </c>
      <c r="AE156" s="168">
        <v>0</v>
      </c>
      <c r="AF156" s="168">
        <v>0</v>
      </c>
      <c r="AG156" s="168">
        <v>0</v>
      </c>
      <c r="AH156" s="174">
        <v>0</v>
      </c>
      <c r="AI156" s="174">
        <v>0</v>
      </c>
      <c r="AJ156" s="158">
        <f t="shared" si="72"/>
        <v>0</v>
      </c>
      <c r="AK156" s="172">
        <f aca="true" t="shared" si="73" ref="AK156:AK187">+AJ156/J156</f>
        <v>0</v>
      </c>
    </row>
    <row r="157" spans="1:37" s="175" customFormat="1" ht="45" hidden="1" outlineLevel="1">
      <c r="A157" s="196"/>
      <c r="B157" s="180" t="s">
        <v>234</v>
      </c>
      <c r="C157" s="197">
        <v>40851</v>
      </c>
      <c r="D157" s="197">
        <v>40864</v>
      </c>
      <c r="E157" s="169" t="s">
        <v>203</v>
      </c>
      <c r="F157" s="169" t="s">
        <v>233</v>
      </c>
      <c r="G157" s="169">
        <v>14</v>
      </c>
      <c r="H157" s="169">
        <v>0</v>
      </c>
      <c r="I157" s="198" t="s">
        <v>85</v>
      </c>
      <c r="J157" s="158">
        <v>10</v>
      </c>
      <c r="K157" s="168">
        <v>0</v>
      </c>
      <c r="L157" s="168">
        <v>0</v>
      </c>
      <c r="M157" s="168">
        <v>0</v>
      </c>
      <c r="N157" s="168">
        <v>0</v>
      </c>
      <c r="O157" s="168">
        <v>10</v>
      </c>
      <c r="P157" s="119">
        <v>5</v>
      </c>
      <c r="Q157" s="119">
        <v>5</v>
      </c>
      <c r="R157" s="120">
        <f t="shared" si="70"/>
        <v>10</v>
      </c>
      <c r="S157" s="171">
        <f t="shared" si="67"/>
        <v>1</v>
      </c>
      <c r="T157" s="168">
        <v>0</v>
      </c>
      <c r="U157" s="168">
        <v>0</v>
      </c>
      <c r="V157" s="168">
        <v>0</v>
      </c>
      <c r="W157" s="168">
        <v>0</v>
      </c>
      <c r="X157" s="168">
        <v>0</v>
      </c>
      <c r="Y157" s="119">
        <v>0</v>
      </c>
      <c r="Z157" s="119">
        <v>0</v>
      </c>
      <c r="AA157" s="183">
        <f t="shared" si="71"/>
        <v>0</v>
      </c>
      <c r="AB157" s="172">
        <f t="shared" si="65"/>
        <v>0</v>
      </c>
      <c r="AC157" s="168">
        <v>0</v>
      </c>
      <c r="AD157" s="168">
        <v>0</v>
      </c>
      <c r="AE157" s="168">
        <v>0</v>
      </c>
      <c r="AF157" s="168">
        <v>0</v>
      </c>
      <c r="AG157" s="168">
        <v>0</v>
      </c>
      <c r="AH157" s="174">
        <v>0</v>
      </c>
      <c r="AI157" s="174">
        <v>0</v>
      </c>
      <c r="AJ157" s="158">
        <f t="shared" si="72"/>
        <v>0</v>
      </c>
      <c r="AK157" s="172">
        <f t="shared" si="73"/>
        <v>0</v>
      </c>
    </row>
    <row r="158" spans="1:37" s="175" customFormat="1" ht="30" hidden="1" outlineLevel="1">
      <c r="A158" s="196"/>
      <c r="B158" s="180" t="s">
        <v>235</v>
      </c>
      <c r="C158" s="197">
        <v>40868</v>
      </c>
      <c r="D158" s="197">
        <v>40868</v>
      </c>
      <c r="E158" s="169" t="s">
        <v>203</v>
      </c>
      <c r="F158" s="169" t="s">
        <v>233</v>
      </c>
      <c r="G158" s="169">
        <v>7</v>
      </c>
      <c r="H158" s="169">
        <v>0</v>
      </c>
      <c r="I158" s="198" t="s">
        <v>78</v>
      </c>
      <c r="J158" s="158">
        <v>10</v>
      </c>
      <c r="K158" s="168">
        <v>0</v>
      </c>
      <c r="L158" s="168">
        <v>0</v>
      </c>
      <c r="M158" s="168">
        <v>0</v>
      </c>
      <c r="N158" s="168">
        <v>0</v>
      </c>
      <c r="O158" s="168">
        <v>10</v>
      </c>
      <c r="P158" s="119">
        <v>5</v>
      </c>
      <c r="Q158" s="119">
        <v>5</v>
      </c>
      <c r="R158" s="120">
        <f t="shared" si="70"/>
        <v>10</v>
      </c>
      <c r="S158" s="171">
        <f t="shared" si="67"/>
        <v>1</v>
      </c>
      <c r="T158" s="168">
        <v>0</v>
      </c>
      <c r="U158" s="168">
        <v>0</v>
      </c>
      <c r="V158" s="168">
        <v>0</v>
      </c>
      <c r="W158" s="168">
        <v>0</v>
      </c>
      <c r="X158" s="168">
        <v>0</v>
      </c>
      <c r="Y158" s="119">
        <v>0</v>
      </c>
      <c r="Z158" s="119">
        <v>0</v>
      </c>
      <c r="AA158" s="183">
        <f t="shared" si="71"/>
        <v>0</v>
      </c>
      <c r="AB158" s="172">
        <f t="shared" si="65"/>
        <v>0</v>
      </c>
      <c r="AC158" s="168">
        <v>0</v>
      </c>
      <c r="AD158" s="168">
        <v>0</v>
      </c>
      <c r="AE158" s="168">
        <v>0</v>
      </c>
      <c r="AF158" s="168">
        <v>0</v>
      </c>
      <c r="AG158" s="168">
        <v>0</v>
      </c>
      <c r="AH158" s="174">
        <v>0</v>
      </c>
      <c r="AI158" s="174">
        <v>0</v>
      </c>
      <c r="AJ158" s="158">
        <f t="shared" si="72"/>
        <v>0</v>
      </c>
      <c r="AK158" s="172">
        <f t="shared" si="73"/>
        <v>0</v>
      </c>
    </row>
    <row r="159" spans="1:37" s="175" customFormat="1" ht="45" hidden="1" outlineLevel="1">
      <c r="A159" s="196"/>
      <c r="B159" s="180" t="s">
        <v>236</v>
      </c>
      <c r="C159" s="197">
        <v>40830</v>
      </c>
      <c r="D159" s="197">
        <v>40830</v>
      </c>
      <c r="E159" s="169" t="s">
        <v>203</v>
      </c>
      <c r="F159" s="169" t="s">
        <v>233</v>
      </c>
      <c r="G159" s="169">
        <v>7</v>
      </c>
      <c r="H159" s="169">
        <v>0</v>
      </c>
      <c r="I159" s="198" t="s">
        <v>85</v>
      </c>
      <c r="J159" s="158">
        <v>10</v>
      </c>
      <c r="K159" s="168">
        <v>0</v>
      </c>
      <c r="L159" s="168">
        <v>0</v>
      </c>
      <c r="M159" s="168">
        <v>0</v>
      </c>
      <c r="N159" s="168">
        <v>0</v>
      </c>
      <c r="O159" s="168">
        <v>10</v>
      </c>
      <c r="P159" s="119">
        <v>5</v>
      </c>
      <c r="Q159" s="119">
        <v>5</v>
      </c>
      <c r="R159" s="120">
        <f t="shared" si="70"/>
        <v>10</v>
      </c>
      <c r="S159" s="171">
        <f t="shared" si="67"/>
        <v>1</v>
      </c>
      <c r="T159" s="168">
        <v>0</v>
      </c>
      <c r="U159" s="168">
        <v>0</v>
      </c>
      <c r="V159" s="168">
        <v>0</v>
      </c>
      <c r="W159" s="168">
        <v>0</v>
      </c>
      <c r="X159" s="168">
        <v>0</v>
      </c>
      <c r="Y159" s="119">
        <v>0</v>
      </c>
      <c r="Z159" s="119">
        <v>0</v>
      </c>
      <c r="AA159" s="183">
        <f t="shared" si="71"/>
        <v>0</v>
      </c>
      <c r="AB159" s="172">
        <f aca="true" t="shared" si="74" ref="AB159:AB190">+AA159/J159</f>
        <v>0</v>
      </c>
      <c r="AC159" s="168">
        <v>0</v>
      </c>
      <c r="AD159" s="168">
        <v>0</v>
      </c>
      <c r="AE159" s="168">
        <v>0</v>
      </c>
      <c r="AF159" s="168">
        <v>0</v>
      </c>
      <c r="AG159" s="168">
        <v>0</v>
      </c>
      <c r="AH159" s="174">
        <v>0</v>
      </c>
      <c r="AI159" s="174">
        <v>0</v>
      </c>
      <c r="AJ159" s="158">
        <f t="shared" si="72"/>
        <v>0</v>
      </c>
      <c r="AK159" s="172">
        <f t="shared" si="73"/>
        <v>0</v>
      </c>
    </row>
    <row r="160" spans="1:37" s="175" customFormat="1" ht="30" hidden="1" outlineLevel="1">
      <c r="A160" s="196"/>
      <c r="B160" s="180" t="s">
        <v>237</v>
      </c>
      <c r="C160" s="197">
        <v>40871</v>
      </c>
      <c r="D160" s="197">
        <v>40871</v>
      </c>
      <c r="E160" s="169" t="s">
        <v>203</v>
      </c>
      <c r="F160" s="169" t="s">
        <v>77</v>
      </c>
      <c r="G160" s="169">
        <v>7</v>
      </c>
      <c r="H160" s="169">
        <v>0</v>
      </c>
      <c r="I160" s="198" t="s">
        <v>83</v>
      </c>
      <c r="J160" s="158">
        <v>44</v>
      </c>
      <c r="K160" s="168">
        <v>18</v>
      </c>
      <c r="L160" s="168">
        <v>0</v>
      </c>
      <c r="M160" s="168">
        <v>0</v>
      </c>
      <c r="N160" s="168">
        <v>0</v>
      </c>
      <c r="O160" s="168">
        <v>0</v>
      </c>
      <c r="P160" s="119">
        <v>5</v>
      </c>
      <c r="Q160" s="119">
        <v>13</v>
      </c>
      <c r="R160" s="120">
        <f t="shared" si="70"/>
        <v>18</v>
      </c>
      <c r="S160" s="171">
        <f t="shared" si="67"/>
        <v>0.4090909090909091</v>
      </c>
      <c r="T160" s="168">
        <v>26</v>
      </c>
      <c r="U160" s="168">
        <v>0</v>
      </c>
      <c r="V160" s="168">
        <v>0</v>
      </c>
      <c r="W160" s="168">
        <v>0</v>
      </c>
      <c r="X160" s="168">
        <v>0</v>
      </c>
      <c r="Y160" s="119">
        <v>11</v>
      </c>
      <c r="Z160" s="119">
        <v>15</v>
      </c>
      <c r="AA160" s="183">
        <f t="shared" si="71"/>
        <v>26</v>
      </c>
      <c r="AB160" s="172">
        <f t="shared" si="74"/>
        <v>0.5909090909090909</v>
      </c>
      <c r="AC160" s="168">
        <v>0</v>
      </c>
      <c r="AD160" s="168">
        <v>0</v>
      </c>
      <c r="AE160" s="168">
        <v>0</v>
      </c>
      <c r="AF160" s="168">
        <v>0</v>
      </c>
      <c r="AG160" s="168">
        <v>0</v>
      </c>
      <c r="AH160" s="174">
        <v>0</v>
      </c>
      <c r="AI160" s="174">
        <v>0</v>
      </c>
      <c r="AJ160" s="158">
        <f t="shared" si="72"/>
        <v>0</v>
      </c>
      <c r="AK160" s="172">
        <f t="shared" si="73"/>
        <v>0</v>
      </c>
    </row>
    <row r="161" spans="1:37" s="175" customFormat="1" ht="30" hidden="1" outlineLevel="1">
      <c r="A161" s="196"/>
      <c r="B161" s="166" t="s">
        <v>238</v>
      </c>
      <c r="C161" s="197">
        <v>40865</v>
      </c>
      <c r="D161" s="197">
        <v>40865</v>
      </c>
      <c r="E161" s="169" t="s">
        <v>203</v>
      </c>
      <c r="F161" s="169" t="s">
        <v>122</v>
      </c>
      <c r="G161" s="169">
        <v>7</v>
      </c>
      <c r="H161" s="169">
        <v>0</v>
      </c>
      <c r="I161" s="198" t="s">
        <v>83</v>
      </c>
      <c r="J161" s="158">
        <v>34</v>
      </c>
      <c r="K161" s="168">
        <v>15</v>
      </c>
      <c r="L161" s="168">
        <v>0</v>
      </c>
      <c r="M161" s="168">
        <v>0</v>
      </c>
      <c r="N161" s="168">
        <v>0</v>
      </c>
      <c r="O161" s="168">
        <v>3</v>
      </c>
      <c r="P161" s="119">
        <v>9</v>
      </c>
      <c r="Q161" s="119">
        <v>9</v>
      </c>
      <c r="R161" s="120">
        <f t="shared" si="70"/>
        <v>18</v>
      </c>
      <c r="S161" s="171">
        <f t="shared" si="67"/>
        <v>0.5294117647058824</v>
      </c>
      <c r="T161" s="168">
        <v>15</v>
      </c>
      <c r="U161" s="168">
        <v>0</v>
      </c>
      <c r="V161" s="168">
        <v>0</v>
      </c>
      <c r="W161" s="168">
        <v>0</v>
      </c>
      <c r="X161" s="168">
        <v>1</v>
      </c>
      <c r="Y161" s="119">
        <v>11</v>
      </c>
      <c r="Z161" s="119">
        <v>5</v>
      </c>
      <c r="AA161" s="183">
        <f t="shared" si="71"/>
        <v>16</v>
      </c>
      <c r="AB161" s="172">
        <f t="shared" si="74"/>
        <v>0.47058823529411764</v>
      </c>
      <c r="AC161" s="168">
        <v>0</v>
      </c>
      <c r="AD161" s="168">
        <v>0</v>
      </c>
      <c r="AE161" s="168">
        <v>0</v>
      </c>
      <c r="AF161" s="168">
        <v>0</v>
      </c>
      <c r="AG161" s="168">
        <v>0</v>
      </c>
      <c r="AH161" s="174">
        <v>0</v>
      </c>
      <c r="AI161" s="174">
        <v>0</v>
      </c>
      <c r="AJ161" s="158">
        <f t="shared" si="72"/>
        <v>0</v>
      </c>
      <c r="AK161" s="172">
        <f t="shared" si="73"/>
        <v>0</v>
      </c>
    </row>
    <row r="162" spans="1:37" s="175" customFormat="1" ht="30" hidden="1" outlineLevel="1">
      <c r="A162" s="196"/>
      <c r="B162" s="180" t="s">
        <v>239</v>
      </c>
      <c r="C162" s="197">
        <v>40879</v>
      </c>
      <c r="D162" s="197">
        <v>40879</v>
      </c>
      <c r="E162" s="169" t="s">
        <v>203</v>
      </c>
      <c r="F162" s="169" t="s">
        <v>122</v>
      </c>
      <c r="G162" s="169">
        <v>7</v>
      </c>
      <c r="H162" s="169">
        <v>0</v>
      </c>
      <c r="I162" s="198" t="s">
        <v>83</v>
      </c>
      <c r="J162" s="158">
        <v>40</v>
      </c>
      <c r="K162" s="168">
        <v>22</v>
      </c>
      <c r="L162" s="168">
        <v>0</v>
      </c>
      <c r="M162" s="168">
        <v>0</v>
      </c>
      <c r="N162" s="168">
        <v>0</v>
      </c>
      <c r="O162" s="168">
        <v>1</v>
      </c>
      <c r="P162" s="119">
        <v>16</v>
      </c>
      <c r="Q162" s="119">
        <v>7</v>
      </c>
      <c r="R162" s="120">
        <f t="shared" si="70"/>
        <v>23</v>
      </c>
      <c r="S162" s="171">
        <f t="shared" si="67"/>
        <v>0.575</v>
      </c>
      <c r="T162" s="168">
        <v>17</v>
      </c>
      <c r="U162" s="168">
        <v>0</v>
      </c>
      <c r="V162" s="168">
        <v>0</v>
      </c>
      <c r="W162" s="168">
        <v>0</v>
      </c>
      <c r="X162" s="168">
        <v>0</v>
      </c>
      <c r="Y162" s="119">
        <v>11</v>
      </c>
      <c r="Z162" s="119">
        <v>6</v>
      </c>
      <c r="AA162" s="183">
        <f t="shared" si="71"/>
        <v>17</v>
      </c>
      <c r="AB162" s="172">
        <f t="shared" si="74"/>
        <v>0.425</v>
      </c>
      <c r="AC162" s="168">
        <v>0</v>
      </c>
      <c r="AD162" s="168">
        <v>0</v>
      </c>
      <c r="AE162" s="168">
        <v>0</v>
      </c>
      <c r="AF162" s="168">
        <v>0</v>
      </c>
      <c r="AG162" s="168">
        <v>0</v>
      </c>
      <c r="AH162" s="174">
        <v>0</v>
      </c>
      <c r="AI162" s="174">
        <v>0</v>
      </c>
      <c r="AJ162" s="158">
        <f t="shared" si="72"/>
        <v>0</v>
      </c>
      <c r="AK162" s="172">
        <f t="shared" si="73"/>
        <v>0</v>
      </c>
    </row>
    <row r="163" spans="1:37" s="175" customFormat="1" ht="30" hidden="1" outlineLevel="1">
      <c r="A163" s="196"/>
      <c r="B163" s="180" t="s">
        <v>240</v>
      </c>
      <c r="C163" s="197">
        <v>40879</v>
      </c>
      <c r="D163" s="197">
        <v>40879</v>
      </c>
      <c r="E163" s="169" t="s">
        <v>203</v>
      </c>
      <c r="F163" s="169" t="s">
        <v>122</v>
      </c>
      <c r="G163" s="169">
        <v>7</v>
      </c>
      <c r="H163" s="169">
        <v>0</v>
      </c>
      <c r="I163" s="198" t="s">
        <v>81</v>
      </c>
      <c r="J163" s="158">
        <v>28</v>
      </c>
      <c r="K163" s="168">
        <v>18</v>
      </c>
      <c r="L163" s="168">
        <v>0</v>
      </c>
      <c r="M163" s="168">
        <v>0</v>
      </c>
      <c r="N163" s="168">
        <v>0</v>
      </c>
      <c r="O163" s="168">
        <v>8</v>
      </c>
      <c r="P163" s="119">
        <v>13</v>
      </c>
      <c r="Q163" s="119">
        <v>13</v>
      </c>
      <c r="R163" s="120">
        <f t="shared" si="70"/>
        <v>26</v>
      </c>
      <c r="S163" s="171">
        <f t="shared" si="67"/>
        <v>0.9285714285714286</v>
      </c>
      <c r="T163" s="168">
        <v>2</v>
      </c>
      <c r="U163" s="168">
        <v>0</v>
      </c>
      <c r="V163" s="168">
        <v>0</v>
      </c>
      <c r="W163" s="168">
        <v>0</v>
      </c>
      <c r="X163" s="168">
        <v>0</v>
      </c>
      <c r="Y163" s="119">
        <v>1</v>
      </c>
      <c r="Z163" s="119">
        <v>1</v>
      </c>
      <c r="AA163" s="183">
        <f t="shared" si="71"/>
        <v>2</v>
      </c>
      <c r="AB163" s="172">
        <f t="shared" si="74"/>
        <v>0.07142857142857142</v>
      </c>
      <c r="AC163" s="168">
        <v>0</v>
      </c>
      <c r="AD163" s="168">
        <v>0</v>
      </c>
      <c r="AE163" s="168">
        <v>0</v>
      </c>
      <c r="AF163" s="168">
        <v>0</v>
      </c>
      <c r="AG163" s="168">
        <v>0</v>
      </c>
      <c r="AH163" s="174">
        <v>0</v>
      </c>
      <c r="AI163" s="174">
        <v>0</v>
      </c>
      <c r="AJ163" s="158">
        <f t="shared" si="72"/>
        <v>0</v>
      </c>
      <c r="AK163" s="172">
        <f t="shared" si="73"/>
        <v>0</v>
      </c>
    </row>
    <row r="164" spans="1:37" s="175" customFormat="1" ht="30" hidden="1" outlineLevel="1">
      <c r="A164" s="196"/>
      <c r="B164" s="180" t="s">
        <v>241</v>
      </c>
      <c r="C164" s="197">
        <v>40882</v>
      </c>
      <c r="D164" s="197">
        <v>40890</v>
      </c>
      <c r="E164" s="169" t="s">
        <v>203</v>
      </c>
      <c r="F164" s="169" t="s">
        <v>122</v>
      </c>
      <c r="G164" s="169">
        <v>15</v>
      </c>
      <c r="H164" s="169">
        <v>0</v>
      </c>
      <c r="I164" s="198" t="s">
        <v>89</v>
      </c>
      <c r="J164" s="158">
        <v>28</v>
      </c>
      <c r="K164" s="168">
        <v>0</v>
      </c>
      <c r="L164" s="168">
        <v>0</v>
      </c>
      <c r="M164" s="168">
        <v>0</v>
      </c>
      <c r="N164" s="168">
        <v>0</v>
      </c>
      <c r="O164" s="168">
        <v>27</v>
      </c>
      <c r="P164" s="119">
        <v>23</v>
      </c>
      <c r="Q164" s="119">
        <v>4</v>
      </c>
      <c r="R164" s="120">
        <f t="shared" si="70"/>
        <v>27</v>
      </c>
      <c r="S164" s="171">
        <f t="shared" si="67"/>
        <v>0.9642857142857143</v>
      </c>
      <c r="T164" s="168">
        <v>0</v>
      </c>
      <c r="U164" s="168">
        <v>0</v>
      </c>
      <c r="V164" s="168">
        <v>0</v>
      </c>
      <c r="W164" s="168">
        <v>0</v>
      </c>
      <c r="X164" s="168">
        <v>1</v>
      </c>
      <c r="Y164" s="119">
        <v>1</v>
      </c>
      <c r="Z164" s="119">
        <v>0</v>
      </c>
      <c r="AA164" s="183">
        <f t="shared" si="71"/>
        <v>1</v>
      </c>
      <c r="AB164" s="172">
        <f t="shared" si="74"/>
        <v>0.03571428571428571</v>
      </c>
      <c r="AC164" s="168">
        <v>0</v>
      </c>
      <c r="AD164" s="168">
        <v>0</v>
      </c>
      <c r="AE164" s="168">
        <v>0</v>
      </c>
      <c r="AF164" s="168">
        <v>0</v>
      </c>
      <c r="AG164" s="168">
        <v>0</v>
      </c>
      <c r="AH164" s="174">
        <v>0</v>
      </c>
      <c r="AI164" s="174">
        <v>0</v>
      </c>
      <c r="AJ164" s="158">
        <f t="shared" si="72"/>
        <v>0</v>
      </c>
      <c r="AK164" s="172">
        <f t="shared" si="73"/>
        <v>0</v>
      </c>
    </row>
    <row r="165" spans="1:37" s="175" customFormat="1" ht="45" hidden="1" outlineLevel="1">
      <c r="A165" s="196"/>
      <c r="B165" s="180" t="s">
        <v>242</v>
      </c>
      <c r="C165" s="197">
        <v>40844</v>
      </c>
      <c r="D165" s="197">
        <v>40844</v>
      </c>
      <c r="E165" s="169" t="s">
        <v>203</v>
      </c>
      <c r="F165" s="169" t="s">
        <v>122</v>
      </c>
      <c r="G165" s="169">
        <v>7</v>
      </c>
      <c r="H165" s="169">
        <v>0</v>
      </c>
      <c r="I165" s="198" t="s">
        <v>85</v>
      </c>
      <c r="J165" s="158">
        <v>60</v>
      </c>
      <c r="K165" s="168">
        <v>26</v>
      </c>
      <c r="L165" s="168">
        <v>0</v>
      </c>
      <c r="M165" s="168">
        <v>6</v>
      </c>
      <c r="N165" s="168">
        <v>0</v>
      </c>
      <c r="O165" s="168">
        <v>0</v>
      </c>
      <c r="P165" s="119">
        <v>9</v>
      </c>
      <c r="Q165" s="119">
        <v>23</v>
      </c>
      <c r="R165" s="120">
        <f t="shared" si="70"/>
        <v>32</v>
      </c>
      <c r="S165" s="171">
        <f t="shared" si="67"/>
        <v>0.5333333333333333</v>
      </c>
      <c r="T165" s="168">
        <v>28</v>
      </c>
      <c r="U165" s="168">
        <v>0</v>
      </c>
      <c r="V165" s="168">
        <v>0</v>
      </c>
      <c r="W165" s="168">
        <v>0</v>
      </c>
      <c r="X165" s="168">
        <v>0</v>
      </c>
      <c r="Y165" s="119">
        <v>16</v>
      </c>
      <c r="Z165" s="119">
        <v>11</v>
      </c>
      <c r="AA165" s="183">
        <f t="shared" si="71"/>
        <v>28</v>
      </c>
      <c r="AB165" s="172">
        <f t="shared" si="74"/>
        <v>0.4666666666666667</v>
      </c>
      <c r="AC165" s="168">
        <v>0</v>
      </c>
      <c r="AD165" s="168">
        <v>0</v>
      </c>
      <c r="AE165" s="168">
        <v>0</v>
      </c>
      <c r="AF165" s="168">
        <v>0</v>
      </c>
      <c r="AG165" s="168">
        <v>0</v>
      </c>
      <c r="AH165" s="174">
        <v>0</v>
      </c>
      <c r="AI165" s="174">
        <v>0</v>
      </c>
      <c r="AJ165" s="158">
        <f t="shared" si="72"/>
        <v>0</v>
      </c>
      <c r="AK165" s="172">
        <f t="shared" si="73"/>
        <v>0</v>
      </c>
    </row>
    <row r="166" spans="1:37" s="175" customFormat="1" ht="30" hidden="1" outlineLevel="1">
      <c r="A166" s="196"/>
      <c r="B166" s="180" t="s">
        <v>243</v>
      </c>
      <c r="C166" s="197">
        <v>40826</v>
      </c>
      <c r="D166" s="197">
        <v>40829</v>
      </c>
      <c r="E166" s="169" t="s">
        <v>203</v>
      </c>
      <c r="F166" s="169" t="s">
        <v>122</v>
      </c>
      <c r="G166" s="169">
        <v>28</v>
      </c>
      <c r="H166" s="169">
        <v>0</v>
      </c>
      <c r="I166" s="198" t="s">
        <v>89</v>
      </c>
      <c r="J166" s="158">
        <v>120</v>
      </c>
      <c r="K166" s="168">
        <v>0</v>
      </c>
      <c r="L166" s="168">
        <v>0</v>
      </c>
      <c r="M166" s="168">
        <v>0</v>
      </c>
      <c r="N166" s="168">
        <v>0</v>
      </c>
      <c r="O166" s="168">
        <v>95</v>
      </c>
      <c r="P166" s="119">
        <v>82</v>
      </c>
      <c r="Q166" s="119">
        <v>13</v>
      </c>
      <c r="R166" s="120">
        <f t="shared" si="70"/>
        <v>95</v>
      </c>
      <c r="S166" s="171">
        <f>+R166/J166</f>
        <v>0.7916666666666666</v>
      </c>
      <c r="T166" s="168">
        <v>0</v>
      </c>
      <c r="U166" s="168">
        <v>0</v>
      </c>
      <c r="V166" s="168">
        <v>0</v>
      </c>
      <c r="W166" s="168">
        <v>0</v>
      </c>
      <c r="X166" s="168">
        <v>25</v>
      </c>
      <c r="Y166" s="119">
        <v>25</v>
      </c>
      <c r="Z166" s="119">
        <v>0</v>
      </c>
      <c r="AA166" s="183">
        <f t="shared" si="71"/>
        <v>25</v>
      </c>
      <c r="AB166" s="172">
        <f t="shared" si="74"/>
        <v>0.20833333333333334</v>
      </c>
      <c r="AC166" s="168">
        <v>0</v>
      </c>
      <c r="AD166" s="168">
        <v>0</v>
      </c>
      <c r="AE166" s="168">
        <v>0</v>
      </c>
      <c r="AF166" s="168">
        <v>0</v>
      </c>
      <c r="AG166" s="168">
        <v>0</v>
      </c>
      <c r="AH166" s="174">
        <v>0</v>
      </c>
      <c r="AI166" s="174">
        <v>0</v>
      </c>
      <c r="AJ166" s="158">
        <f t="shared" si="72"/>
        <v>0</v>
      </c>
      <c r="AK166" s="172">
        <f t="shared" si="73"/>
        <v>0</v>
      </c>
    </row>
    <row r="167" spans="1:37" s="175" customFormat="1" ht="30" hidden="1" outlineLevel="1">
      <c r="A167" s="196"/>
      <c r="B167" s="180" t="s">
        <v>244</v>
      </c>
      <c r="C167" s="197">
        <v>40819</v>
      </c>
      <c r="D167" s="197">
        <v>40822</v>
      </c>
      <c r="E167" s="169" t="s">
        <v>203</v>
      </c>
      <c r="F167" s="169" t="s">
        <v>122</v>
      </c>
      <c r="G167" s="169">
        <v>28</v>
      </c>
      <c r="H167" s="169">
        <v>0</v>
      </c>
      <c r="I167" s="198" t="s">
        <v>89</v>
      </c>
      <c r="J167" s="158">
        <v>120</v>
      </c>
      <c r="K167" s="168">
        <v>0</v>
      </c>
      <c r="L167" s="168">
        <v>0</v>
      </c>
      <c r="M167" s="168">
        <v>0</v>
      </c>
      <c r="N167" s="168">
        <v>0</v>
      </c>
      <c r="O167" s="168">
        <v>93</v>
      </c>
      <c r="P167" s="119">
        <v>81</v>
      </c>
      <c r="Q167" s="119">
        <v>12</v>
      </c>
      <c r="R167" s="120">
        <f t="shared" si="70"/>
        <v>93</v>
      </c>
      <c r="S167" s="171">
        <f>+R167/J167</f>
        <v>0.775</v>
      </c>
      <c r="T167" s="168">
        <v>0</v>
      </c>
      <c r="U167" s="168">
        <v>0</v>
      </c>
      <c r="V167" s="168">
        <v>0</v>
      </c>
      <c r="W167" s="168">
        <v>0</v>
      </c>
      <c r="X167" s="168">
        <v>27</v>
      </c>
      <c r="Y167" s="119">
        <v>25</v>
      </c>
      <c r="Z167" s="119">
        <v>2</v>
      </c>
      <c r="AA167" s="183">
        <f t="shared" si="71"/>
        <v>27</v>
      </c>
      <c r="AB167" s="172">
        <f t="shared" si="74"/>
        <v>0.225</v>
      </c>
      <c r="AC167" s="168">
        <v>0</v>
      </c>
      <c r="AD167" s="168">
        <v>0</v>
      </c>
      <c r="AE167" s="168">
        <v>0</v>
      </c>
      <c r="AF167" s="168">
        <v>0</v>
      </c>
      <c r="AG167" s="168">
        <v>0</v>
      </c>
      <c r="AH167" s="174">
        <v>0</v>
      </c>
      <c r="AI167" s="174">
        <v>0</v>
      </c>
      <c r="AJ167" s="158">
        <f t="shared" si="72"/>
        <v>0</v>
      </c>
      <c r="AK167" s="172">
        <f t="shared" si="73"/>
        <v>0</v>
      </c>
    </row>
    <row r="168" spans="1:37" s="175" customFormat="1" ht="30" hidden="1" outlineLevel="1">
      <c r="A168" s="196"/>
      <c r="B168" s="180" t="s">
        <v>245</v>
      </c>
      <c r="C168" s="197">
        <v>40833</v>
      </c>
      <c r="D168" s="197">
        <v>40836</v>
      </c>
      <c r="E168" s="169" t="s">
        <v>203</v>
      </c>
      <c r="F168" s="169" t="s">
        <v>122</v>
      </c>
      <c r="G168" s="169">
        <v>28</v>
      </c>
      <c r="H168" s="169">
        <v>0</v>
      </c>
      <c r="I168" s="198" t="s">
        <v>89</v>
      </c>
      <c r="J168" s="158">
        <v>120</v>
      </c>
      <c r="K168" s="168">
        <v>0</v>
      </c>
      <c r="L168" s="168">
        <v>0</v>
      </c>
      <c r="M168" s="168">
        <v>0</v>
      </c>
      <c r="N168" s="168">
        <v>0</v>
      </c>
      <c r="O168" s="168">
        <v>95</v>
      </c>
      <c r="P168" s="119">
        <v>83</v>
      </c>
      <c r="Q168" s="119">
        <v>12</v>
      </c>
      <c r="R168" s="120">
        <f t="shared" si="70"/>
        <v>95</v>
      </c>
      <c r="S168" s="171">
        <f>+R168/J168</f>
        <v>0.7916666666666666</v>
      </c>
      <c r="T168" s="168">
        <v>0</v>
      </c>
      <c r="U168" s="168">
        <v>0</v>
      </c>
      <c r="V168" s="168">
        <v>0</v>
      </c>
      <c r="W168" s="168">
        <v>0</v>
      </c>
      <c r="X168" s="168">
        <v>25</v>
      </c>
      <c r="Y168" s="119">
        <v>23</v>
      </c>
      <c r="Z168" s="119">
        <v>2</v>
      </c>
      <c r="AA168" s="183">
        <f t="shared" si="71"/>
        <v>25</v>
      </c>
      <c r="AB168" s="172">
        <f t="shared" si="74"/>
        <v>0.20833333333333334</v>
      </c>
      <c r="AC168" s="168">
        <v>0</v>
      </c>
      <c r="AD168" s="168">
        <v>0</v>
      </c>
      <c r="AE168" s="168">
        <v>0</v>
      </c>
      <c r="AF168" s="168">
        <v>0</v>
      </c>
      <c r="AG168" s="168">
        <v>0</v>
      </c>
      <c r="AH168" s="174">
        <v>0</v>
      </c>
      <c r="AI168" s="174">
        <v>0</v>
      </c>
      <c r="AJ168" s="158">
        <f t="shared" si="72"/>
        <v>0</v>
      </c>
      <c r="AK168" s="172">
        <f t="shared" si="73"/>
        <v>0</v>
      </c>
    </row>
    <row r="169" spans="1:37" s="175" customFormat="1" ht="30" hidden="1" outlineLevel="1">
      <c r="A169" s="196"/>
      <c r="B169" s="180" t="s">
        <v>246</v>
      </c>
      <c r="C169" s="197">
        <v>40840</v>
      </c>
      <c r="D169" s="197">
        <v>40843</v>
      </c>
      <c r="E169" s="169" t="s">
        <v>203</v>
      </c>
      <c r="F169" s="169" t="s">
        <v>122</v>
      </c>
      <c r="G169" s="169">
        <v>28</v>
      </c>
      <c r="H169" s="169">
        <v>0</v>
      </c>
      <c r="I169" s="198" t="s">
        <v>89</v>
      </c>
      <c r="J169" s="158">
        <v>120</v>
      </c>
      <c r="K169" s="168">
        <v>0</v>
      </c>
      <c r="L169" s="168">
        <v>0</v>
      </c>
      <c r="M169" s="168">
        <v>0</v>
      </c>
      <c r="N169" s="168">
        <v>0</v>
      </c>
      <c r="O169" s="168">
        <v>95</v>
      </c>
      <c r="P169" s="119">
        <v>84</v>
      </c>
      <c r="Q169" s="119">
        <v>11</v>
      </c>
      <c r="R169" s="120">
        <f t="shared" si="70"/>
        <v>95</v>
      </c>
      <c r="S169" s="171">
        <f>+R169/J169</f>
        <v>0.7916666666666666</v>
      </c>
      <c r="T169" s="168">
        <v>0</v>
      </c>
      <c r="U169" s="168">
        <v>0</v>
      </c>
      <c r="V169" s="168">
        <v>0</v>
      </c>
      <c r="W169" s="168">
        <v>0</v>
      </c>
      <c r="X169" s="168">
        <v>25</v>
      </c>
      <c r="Y169" s="119">
        <v>23</v>
      </c>
      <c r="Z169" s="119">
        <v>2</v>
      </c>
      <c r="AA169" s="183">
        <f t="shared" si="71"/>
        <v>25</v>
      </c>
      <c r="AB169" s="172">
        <f t="shared" si="74"/>
        <v>0.20833333333333334</v>
      </c>
      <c r="AC169" s="168">
        <v>0</v>
      </c>
      <c r="AD169" s="168">
        <v>0</v>
      </c>
      <c r="AE169" s="168">
        <v>0</v>
      </c>
      <c r="AF169" s="168">
        <v>0</v>
      </c>
      <c r="AG169" s="168">
        <v>0</v>
      </c>
      <c r="AH169" s="174">
        <v>0</v>
      </c>
      <c r="AI169" s="174">
        <v>0</v>
      </c>
      <c r="AJ169" s="158">
        <f t="shared" si="72"/>
        <v>0</v>
      </c>
      <c r="AK169" s="172">
        <f t="shared" si="73"/>
        <v>0</v>
      </c>
    </row>
    <row r="170" spans="1:37" s="144" customFormat="1" ht="30" hidden="1" outlineLevel="1">
      <c r="A170" s="199"/>
      <c r="B170" s="200" t="s">
        <v>247</v>
      </c>
      <c r="C170" s="201">
        <v>40854</v>
      </c>
      <c r="D170" s="201">
        <v>40857</v>
      </c>
      <c r="E170" s="202" t="s">
        <v>203</v>
      </c>
      <c r="F170" s="202" t="s">
        <v>122</v>
      </c>
      <c r="G170" s="202">
        <v>28</v>
      </c>
      <c r="H170" s="202">
        <v>0</v>
      </c>
      <c r="I170" s="203" t="s">
        <v>89</v>
      </c>
      <c r="J170" s="137">
        <v>159</v>
      </c>
      <c r="K170" s="135">
        <v>0</v>
      </c>
      <c r="L170" s="135">
        <v>0</v>
      </c>
      <c r="M170" s="135">
        <v>0</v>
      </c>
      <c r="N170" s="135">
        <v>0</v>
      </c>
      <c r="O170" s="135">
        <v>151</v>
      </c>
      <c r="P170" s="138">
        <v>143</v>
      </c>
      <c r="Q170" s="138">
        <v>8</v>
      </c>
      <c r="R170" s="120">
        <f t="shared" si="70"/>
        <v>151</v>
      </c>
      <c r="S170" s="145">
        <f>+R170/J170</f>
        <v>0.949685534591195</v>
      </c>
      <c r="T170" s="135">
        <v>0</v>
      </c>
      <c r="U170" s="135">
        <v>0</v>
      </c>
      <c r="V170" s="135">
        <v>0</v>
      </c>
      <c r="W170" s="135">
        <v>0</v>
      </c>
      <c r="X170" s="135">
        <v>8</v>
      </c>
      <c r="Y170" s="138">
        <v>0</v>
      </c>
      <c r="Z170" s="138">
        <v>0</v>
      </c>
      <c r="AA170" s="191">
        <f t="shared" si="71"/>
        <v>8</v>
      </c>
      <c r="AB170" s="147">
        <f t="shared" si="74"/>
        <v>0.050314465408805034</v>
      </c>
      <c r="AC170" s="135">
        <v>0</v>
      </c>
      <c r="AD170" s="135">
        <v>0</v>
      </c>
      <c r="AE170" s="135">
        <v>0</v>
      </c>
      <c r="AF170" s="135">
        <v>0</v>
      </c>
      <c r="AG170" s="135">
        <v>0</v>
      </c>
      <c r="AH170" s="141">
        <v>0</v>
      </c>
      <c r="AI170" s="141">
        <v>0</v>
      </c>
      <c r="AJ170" s="158">
        <f t="shared" si="72"/>
        <v>0</v>
      </c>
      <c r="AK170" s="172">
        <f t="shared" si="73"/>
        <v>0</v>
      </c>
    </row>
    <row r="171" spans="1:37" s="144" customFormat="1" ht="30" hidden="1" outlineLevel="1">
      <c r="A171" s="199"/>
      <c r="B171" s="200" t="s">
        <v>248</v>
      </c>
      <c r="C171" s="201">
        <v>40847</v>
      </c>
      <c r="D171" s="201">
        <v>40850</v>
      </c>
      <c r="E171" s="202" t="s">
        <v>203</v>
      </c>
      <c r="F171" s="202" t="s">
        <v>122</v>
      </c>
      <c r="G171" s="202">
        <v>28</v>
      </c>
      <c r="H171" s="202">
        <v>0</v>
      </c>
      <c r="I171" s="203" t="s">
        <v>89</v>
      </c>
      <c r="J171" s="137">
        <v>161</v>
      </c>
      <c r="K171" s="135">
        <v>0</v>
      </c>
      <c r="L171" s="135">
        <v>0</v>
      </c>
      <c r="M171" s="135">
        <v>0</v>
      </c>
      <c r="N171" s="135">
        <v>0</v>
      </c>
      <c r="O171" s="135">
        <v>122</v>
      </c>
      <c r="P171" s="138">
        <v>114</v>
      </c>
      <c r="Q171" s="138">
        <v>8</v>
      </c>
      <c r="R171" s="120">
        <f t="shared" si="70"/>
        <v>122</v>
      </c>
      <c r="S171" s="145">
        <f>+R171/J171</f>
        <v>0.7577639751552795</v>
      </c>
      <c r="T171" s="135">
        <v>0</v>
      </c>
      <c r="U171" s="135">
        <v>0</v>
      </c>
      <c r="V171" s="135">
        <v>0</v>
      </c>
      <c r="W171" s="135">
        <v>0</v>
      </c>
      <c r="X171" s="135">
        <v>39</v>
      </c>
      <c r="Y171" s="138">
        <v>0</v>
      </c>
      <c r="Z171" s="138">
        <v>0</v>
      </c>
      <c r="AA171" s="191">
        <f t="shared" si="71"/>
        <v>39</v>
      </c>
      <c r="AB171" s="147">
        <f t="shared" si="74"/>
        <v>0.2422360248447205</v>
      </c>
      <c r="AC171" s="135">
        <v>0</v>
      </c>
      <c r="AD171" s="135">
        <v>0</v>
      </c>
      <c r="AE171" s="135">
        <v>0</v>
      </c>
      <c r="AF171" s="135">
        <v>0</v>
      </c>
      <c r="AG171" s="135">
        <v>0</v>
      </c>
      <c r="AH171" s="141">
        <v>0</v>
      </c>
      <c r="AI171" s="141">
        <v>0</v>
      </c>
      <c r="AJ171" s="158">
        <f t="shared" si="72"/>
        <v>0</v>
      </c>
      <c r="AK171" s="172">
        <f t="shared" si="73"/>
        <v>0</v>
      </c>
    </row>
    <row r="172" spans="1:49" s="144" customFormat="1" ht="30" hidden="1" outlineLevel="1">
      <c r="A172" s="199"/>
      <c r="B172" s="200" t="s">
        <v>249</v>
      </c>
      <c r="C172" s="201">
        <v>40861</v>
      </c>
      <c r="D172" s="201">
        <v>40864</v>
      </c>
      <c r="E172" s="202" t="s">
        <v>203</v>
      </c>
      <c r="F172" s="202" t="s">
        <v>122</v>
      </c>
      <c r="G172" s="202">
        <v>28</v>
      </c>
      <c r="H172" s="202">
        <v>0</v>
      </c>
      <c r="I172" s="203" t="s">
        <v>89</v>
      </c>
      <c r="J172" s="137">
        <v>161</v>
      </c>
      <c r="K172" s="135">
        <v>0</v>
      </c>
      <c r="L172" s="135">
        <v>0</v>
      </c>
      <c r="M172" s="135">
        <v>0</v>
      </c>
      <c r="N172" s="135">
        <v>0</v>
      </c>
      <c r="O172" s="135">
        <v>116</v>
      </c>
      <c r="P172" s="138">
        <v>109</v>
      </c>
      <c r="Q172" s="138">
        <v>7</v>
      </c>
      <c r="R172" s="120">
        <f t="shared" si="70"/>
        <v>116</v>
      </c>
      <c r="S172" s="145">
        <f>+R172/J172</f>
        <v>0.7204968944099379</v>
      </c>
      <c r="T172" s="135">
        <v>0</v>
      </c>
      <c r="U172" s="135">
        <v>0</v>
      </c>
      <c r="V172" s="135">
        <v>0</v>
      </c>
      <c r="W172" s="135">
        <v>0</v>
      </c>
      <c r="X172" s="135">
        <v>45</v>
      </c>
      <c r="Y172" s="138">
        <v>0</v>
      </c>
      <c r="Z172" s="138">
        <v>0</v>
      </c>
      <c r="AA172" s="191">
        <f t="shared" si="71"/>
        <v>45</v>
      </c>
      <c r="AB172" s="147">
        <f t="shared" si="74"/>
        <v>0.2795031055900621</v>
      </c>
      <c r="AC172" s="135">
        <v>0</v>
      </c>
      <c r="AD172" s="135">
        <v>0</v>
      </c>
      <c r="AE172" s="135">
        <v>0</v>
      </c>
      <c r="AF172" s="135">
        <v>0</v>
      </c>
      <c r="AG172" s="135">
        <v>0</v>
      </c>
      <c r="AH172" s="141">
        <v>0</v>
      </c>
      <c r="AI172" s="141">
        <v>0</v>
      </c>
      <c r="AJ172" s="158">
        <f t="shared" si="72"/>
        <v>0</v>
      </c>
      <c r="AK172" s="172">
        <f t="shared" si="73"/>
        <v>0</v>
      </c>
      <c r="AW172" s="144" t="s">
        <v>250</v>
      </c>
    </row>
    <row r="173" spans="1:37" s="144" customFormat="1" ht="30" hidden="1" outlineLevel="1">
      <c r="A173" s="199"/>
      <c r="B173" s="200" t="s">
        <v>251</v>
      </c>
      <c r="C173" s="201">
        <v>40868</v>
      </c>
      <c r="D173" s="201">
        <v>40871</v>
      </c>
      <c r="E173" s="202" t="s">
        <v>203</v>
      </c>
      <c r="F173" s="202" t="s">
        <v>122</v>
      </c>
      <c r="G173" s="202">
        <v>28</v>
      </c>
      <c r="H173" s="202">
        <v>0</v>
      </c>
      <c r="I173" s="203" t="s">
        <v>89</v>
      </c>
      <c r="J173" s="137">
        <v>168</v>
      </c>
      <c r="K173" s="135">
        <v>0</v>
      </c>
      <c r="L173" s="135">
        <v>0</v>
      </c>
      <c r="M173" s="135">
        <v>0</v>
      </c>
      <c r="N173" s="135">
        <v>0</v>
      </c>
      <c r="O173" s="135">
        <v>103</v>
      </c>
      <c r="P173" s="138">
        <v>98</v>
      </c>
      <c r="Q173" s="138">
        <v>5</v>
      </c>
      <c r="R173" s="120">
        <f t="shared" si="70"/>
        <v>103</v>
      </c>
      <c r="S173" s="145">
        <f>+R173/J173</f>
        <v>0.6130952380952381</v>
      </c>
      <c r="T173" s="135">
        <v>0</v>
      </c>
      <c r="U173" s="135">
        <v>0</v>
      </c>
      <c r="V173" s="135">
        <v>0</v>
      </c>
      <c r="W173" s="135">
        <v>0</v>
      </c>
      <c r="X173" s="135">
        <v>65</v>
      </c>
      <c r="Y173" s="138">
        <v>0</v>
      </c>
      <c r="Z173" s="138">
        <v>0</v>
      </c>
      <c r="AA173" s="191">
        <f t="shared" si="71"/>
        <v>65</v>
      </c>
      <c r="AB173" s="147">
        <f t="shared" si="74"/>
        <v>0.3869047619047619</v>
      </c>
      <c r="AC173" s="135">
        <v>0</v>
      </c>
      <c r="AD173" s="135">
        <v>0</v>
      </c>
      <c r="AE173" s="135">
        <v>0</v>
      </c>
      <c r="AF173" s="135">
        <v>0</v>
      </c>
      <c r="AG173" s="135">
        <v>0</v>
      </c>
      <c r="AH173" s="141">
        <v>0</v>
      </c>
      <c r="AI173" s="141">
        <v>0</v>
      </c>
      <c r="AJ173" s="158">
        <f t="shared" si="72"/>
        <v>0</v>
      </c>
      <c r="AK173" s="172">
        <f t="shared" si="73"/>
        <v>0</v>
      </c>
    </row>
    <row r="174" spans="1:37" s="144" customFormat="1" ht="30" hidden="1" outlineLevel="1">
      <c r="A174" s="199"/>
      <c r="B174" s="200" t="s">
        <v>252</v>
      </c>
      <c r="C174" s="201">
        <v>40877</v>
      </c>
      <c r="D174" s="201">
        <v>40878</v>
      </c>
      <c r="E174" s="202" t="s">
        <v>203</v>
      </c>
      <c r="F174" s="202" t="s">
        <v>122</v>
      </c>
      <c r="G174" s="202">
        <v>14</v>
      </c>
      <c r="H174" s="202">
        <v>0</v>
      </c>
      <c r="I174" s="203" t="s">
        <v>89</v>
      </c>
      <c r="J174" s="137">
        <v>60</v>
      </c>
      <c r="K174" s="135">
        <v>0</v>
      </c>
      <c r="L174" s="135">
        <v>0</v>
      </c>
      <c r="M174" s="135">
        <v>0</v>
      </c>
      <c r="N174" s="135">
        <v>0</v>
      </c>
      <c r="O174" s="135">
        <v>25</v>
      </c>
      <c r="P174" s="138">
        <v>21</v>
      </c>
      <c r="Q174" s="138">
        <v>4</v>
      </c>
      <c r="R174" s="120">
        <f t="shared" si="70"/>
        <v>25</v>
      </c>
      <c r="S174" s="145">
        <f>+R174/J174</f>
        <v>0.4166666666666667</v>
      </c>
      <c r="T174" s="135">
        <v>0</v>
      </c>
      <c r="U174" s="135">
        <v>0</v>
      </c>
      <c r="V174" s="135">
        <v>0</v>
      </c>
      <c r="W174" s="135">
        <v>0</v>
      </c>
      <c r="X174" s="135">
        <v>35</v>
      </c>
      <c r="Y174" s="138">
        <v>0</v>
      </c>
      <c r="Z174" s="138">
        <v>0</v>
      </c>
      <c r="AA174" s="191">
        <f t="shared" si="71"/>
        <v>35</v>
      </c>
      <c r="AB174" s="147">
        <f t="shared" si="74"/>
        <v>0.5833333333333334</v>
      </c>
      <c r="AC174" s="135">
        <v>0</v>
      </c>
      <c r="AD174" s="135">
        <v>0</v>
      </c>
      <c r="AE174" s="135">
        <v>0</v>
      </c>
      <c r="AF174" s="135">
        <v>0</v>
      </c>
      <c r="AG174" s="135">
        <v>0</v>
      </c>
      <c r="AH174" s="141">
        <v>0</v>
      </c>
      <c r="AI174" s="141">
        <v>0</v>
      </c>
      <c r="AJ174" s="158">
        <f t="shared" si="72"/>
        <v>0</v>
      </c>
      <c r="AK174" s="172">
        <f t="shared" si="73"/>
        <v>0</v>
      </c>
    </row>
    <row r="175" spans="1:37" s="175" customFormat="1" ht="30" hidden="1" outlineLevel="1">
      <c r="A175" s="196"/>
      <c r="B175" s="180" t="s">
        <v>253</v>
      </c>
      <c r="C175" s="197">
        <v>40875</v>
      </c>
      <c r="D175" s="197">
        <v>40876</v>
      </c>
      <c r="E175" s="169" t="s">
        <v>203</v>
      </c>
      <c r="F175" s="169" t="s">
        <v>122</v>
      </c>
      <c r="G175" s="169">
        <v>14</v>
      </c>
      <c r="H175" s="169">
        <v>0</v>
      </c>
      <c r="I175" s="198" t="s">
        <v>89</v>
      </c>
      <c r="J175" s="158">
        <v>60</v>
      </c>
      <c r="K175" s="168">
        <v>0</v>
      </c>
      <c r="L175" s="168">
        <v>0</v>
      </c>
      <c r="M175" s="168">
        <v>0</v>
      </c>
      <c r="N175" s="168">
        <v>0</v>
      </c>
      <c r="O175" s="168">
        <v>58</v>
      </c>
      <c r="P175" s="119">
        <v>53</v>
      </c>
      <c r="Q175" s="119">
        <v>5</v>
      </c>
      <c r="R175" s="120">
        <f t="shared" si="70"/>
        <v>58</v>
      </c>
      <c r="S175" s="171">
        <f>+R175/J175</f>
        <v>0.9666666666666667</v>
      </c>
      <c r="T175" s="168">
        <v>0</v>
      </c>
      <c r="U175" s="168">
        <v>0</v>
      </c>
      <c r="V175" s="168">
        <v>0</v>
      </c>
      <c r="W175" s="168">
        <v>0</v>
      </c>
      <c r="X175" s="168">
        <v>2</v>
      </c>
      <c r="Y175" s="119">
        <v>1</v>
      </c>
      <c r="Z175" s="119">
        <v>1</v>
      </c>
      <c r="AA175" s="183">
        <f t="shared" si="71"/>
        <v>2</v>
      </c>
      <c r="AB175" s="172">
        <f t="shared" si="74"/>
        <v>0.03333333333333333</v>
      </c>
      <c r="AC175" s="168">
        <v>0</v>
      </c>
      <c r="AD175" s="168">
        <v>0</v>
      </c>
      <c r="AE175" s="168">
        <v>0</v>
      </c>
      <c r="AF175" s="168">
        <v>0</v>
      </c>
      <c r="AG175" s="168">
        <v>0</v>
      </c>
      <c r="AH175" s="174">
        <v>0</v>
      </c>
      <c r="AI175" s="174">
        <v>0</v>
      </c>
      <c r="AJ175" s="158">
        <f t="shared" si="72"/>
        <v>0</v>
      </c>
      <c r="AK175" s="172">
        <f t="shared" si="73"/>
        <v>0</v>
      </c>
    </row>
    <row r="176" spans="1:37" s="175" customFormat="1" ht="30" hidden="1" outlineLevel="1">
      <c r="A176" s="196"/>
      <c r="B176" s="180" t="s">
        <v>254</v>
      </c>
      <c r="C176" s="197">
        <v>40882</v>
      </c>
      <c r="D176" s="197">
        <v>40883</v>
      </c>
      <c r="E176" s="169" t="s">
        <v>203</v>
      </c>
      <c r="F176" s="169" t="s">
        <v>122</v>
      </c>
      <c r="G176" s="169">
        <v>14</v>
      </c>
      <c r="H176" s="169">
        <v>0</v>
      </c>
      <c r="I176" s="198" t="s">
        <v>89</v>
      </c>
      <c r="J176" s="158">
        <v>60</v>
      </c>
      <c r="K176" s="168">
        <v>0</v>
      </c>
      <c r="L176" s="168">
        <v>0</v>
      </c>
      <c r="M176" s="168">
        <v>0</v>
      </c>
      <c r="N176" s="168">
        <v>0</v>
      </c>
      <c r="O176" s="168">
        <v>54</v>
      </c>
      <c r="P176" s="119">
        <v>50</v>
      </c>
      <c r="Q176" s="119">
        <v>4</v>
      </c>
      <c r="R176" s="120">
        <f t="shared" si="70"/>
        <v>54</v>
      </c>
      <c r="S176" s="171">
        <f>+R176/J176</f>
        <v>0.9</v>
      </c>
      <c r="T176" s="168">
        <v>0</v>
      </c>
      <c r="U176" s="168">
        <v>0</v>
      </c>
      <c r="V176" s="168">
        <v>0</v>
      </c>
      <c r="W176" s="168">
        <v>0</v>
      </c>
      <c r="X176" s="168">
        <v>6</v>
      </c>
      <c r="Y176" s="119">
        <v>6</v>
      </c>
      <c r="Z176" s="119">
        <v>0</v>
      </c>
      <c r="AA176" s="183">
        <f t="shared" si="71"/>
        <v>6</v>
      </c>
      <c r="AB176" s="172">
        <f t="shared" si="74"/>
        <v>0.1</v>
      </c>
      <c r="AC176" s="168">
        <v>0</v>
      </c>
      <c r="AD176" s="168">
        <v>0</v>
      </c>
      <c r="AE176" s="168">
        <v>0</v>
      </c>
      <c r="AF176" s="168">
        <v>0</v>
      </c>
      <c r="AG176" s="168">
        <v>0</v>
      </c>
      <c r="AH176" s="174">
        <v>0</v>
      </c>
      <c r="AI176" s="174">
        <v>0</v>
      </c>
      <c r="AJ176" s="158">
        <f t="shared" si="72"/>
        <v>0</v>
      </c>
      <c r="AK176" s="172">
        <f t="shared" si="73"/>
        <v>0</v>
      </c>
    </row>
    <row r="177" spans="1:37" s="144" customFormat="1" ht="30" hidden="1" outlineLevel="1">
      <c r="A177" s="199"/>
      <c r="B177" s="200" t="s">
        <v>255</v>
      </c>
      <c r="C177" s="201">
        <v>40884</v>
      </c>
      <c r="D177" s="201">
        <v>40885</v>
      </c>
      <c r="E177" s="202" t="s">
        <v>203</v>
      </c>
      <c r="F177" s="202" t="s">
        <v>122</v>
      </c>
      <c r="G177" s="202">
        <v>14</v>
      </c>
      <c r="H177" s="202">
        <v>0</v>
      </c>
      <c r="I177" s="203" t="s">
        <v>89</v>
      </c>
      <c r="J177" s="137">
        <v>101</v>
      </c>
      <c r="K177" s="135">
        <v>0</v>
      </c>
      <c r="L177" s="135">
        <v>0</v>
      </c>
      <c r="M177" s="135">
        <v>0</v>
      </c>
      <c r="N177" s="135">
        <v>0</v>
      </c>
      <c r="O177" s="135">
        <v>92</v>
      </c>
      <c r="P177" s="138">
        <v>82</v>
      </c>
      <c r="Q177" s="138">
        <v>10</v>
      </c>
      <c r="R177" s="120">
        <f t="shared" si="70"/>
        <v>92</v>
      </c>
      <c r="S177" s="145">
        <f>+R177/J177</f>
        <v>0.9108910891089109</v>
      </c>
      <c r="T177" s="135">
        <v>0</v>
      </c>
      <c r="U177" s="135">
        <v>0</v>
      </c>
      <c r="V177" s="135">
        <v>0</v>
      </c>
      <c r="W177" s="135">
        <v>0</v>
      </c>
      <c r="X177" s="135">
        <v>9</v>
      </c>
      <c r="Y177" s="138">
        <v>0</v>
      </c>
      <c r="Z177" s="138">
        <v>0</v>
      </c>
      <c r="AA177" s="191">
        <f t="shared" si="71"/>
        <v>9</v>
      </c>
      <c r="AB177" s="147">
        <f t="shared" si="74"/>
        <v>0.0891089108910891</v>
      </c>
      <c r="AC177" s="135">
        <v>0</v>
      </c>
      <c r="AD177" s="135">
        <v>0</v>
      </c>
      <c r="AE177" s="135">
        <v>0</v>
      </c>
      <c r="AF177" s="135">
        <v>0</v>
      </c>
      <c r="AG177" s="135">
        <v>0</v>
      </c>
      <c r="AH177" s="141">
        <v>0</v>
      </c>
      <c r="AI177" s="141">
        <v>0</v>
      </c>
      <c r="AJ177" s="158">
        <f t="shared" si="72"/>
        <v>0</v>
      </c>
      <c r="AK177" s="172">
        <f t="shared" si="73"/>
        <v>0</v>
      </c>
    </row>
    <row r="178" spans="1:37" s="175" customFormat="1" ht="30" hidden="1" outlineLevel="1">
      <c r="A178" s="165"/>
      <c r="B178" s="204" t="s">
        <v>256</v>
      </c>
      <c r="C178" s="185">
        <v>40672</v>
      </c>
      <c r="D178" s="197">
        <v>40697</v>
      </c>
      <c r="E178" s="168" t="s">
        <v>257</v>
      </c>
      <c r="F178" s="169" t="s">
        <v>122</v>
      </c>
      <c r="G178" s="168">
        <f>+7*20</f>
        <v>140</v>
      </c>
      <c r="H178" s="168">
        <v>0</v>
      </c>
      <c r="I178" s="198" t="s">
        <v>89</v>
      </c>
      <c r="J178" s="158">
        <v>657</v>
      </c>
      <c r="K178" s="168">
        <v>0</v>
      </c>
      <c r="L178" s="168">
        <v>0</v>
      </c>
      <c r="M178" s="168">
        <v>0</v>
      </c>
      <c r="N178" s="168">
        <v>0</v>
      </c>
      <c r="O178" s="168">
        <v>513</v>
      </c>
      <c r="P178" s="119">
        <v>452</v>
      </c>
      <c r="Q178" s="119">
        <v>61</v>
      </c>
      <c r="R178" s="120">
        <f t="shared" si="70"/>
        <v>513</v>
      </c>
      <c r="S178" s="171">
        <f>+R178/J178</f>
        <v>0.7808219178082192</v>
      </c>
      <c r="T178" s="168">
        <v>0</v>
      </c>
      <c r="U178" s="168">
        <v>0</v>
      </c>
      <c r="V178" s="168">
        <v>0</v>
      </c>
      <c r="W178" s="168">
        <v>0</v>
      </c>
      <c r="X178" s="168">
        <v>144</v>
      </c>
      <c r="Y178" s="119">
        <v>127</v>
      </c>
      <c r="Z178" s="119">
        <v>17</v>
      </c>
      <c r="AA178" s="183">
        <f>+X178</f>
        <v>144</v>
      </c>
      <c r="AB178" s="172">
        <f t="shared" si="74"/>
        <v>0.2191780821917808</v>
      </c>
      <c r="AC178" s="168">
        <v>0</v>
      </c>
      <c r="AD178" s="168">
        <v>0</v>
      </c>
      <c r="AE178" s="168">
        <v>0</v>
      </c>
      <c r="AF178" s="168">
        <v>0</v>
      </c>
      <c r="AG178" s="168">
        <v>0</v>
      </c>
      <c r="AH178" s="174">
        <v>0</v>
      </c>
      <c r="AI178" s="174">
        <v>0</v>
      </c>
      <c r="AJ178" s="158">
        <f t="shared" si="72"/>
        <v>0</v>
      </c>
      <c r="AK178" s="172">
        <f t="shared" si="73"/>
        <v>0</v>
      </c>
    </row>
    <row r="179" spans="1:37" s="211" customFormat="1" ht="12.75">
      <c r="A179" s="205"/>
      <c r="B179" s="206" t="s">
        <v>258</v>
      </c>
      <c r="C179" s="206"/>
      <c r="D179" s="207"/>
      <c r="E179" s="208"/>
      <c r="F179" s="208"/>
      <c r="G179" s="208">
        <f>+G6+G34+G62+G123</f>
        <v>3587</v>
      </c>
      <c r="H179" s="208">
        <f>+H6+H34+H62+H123</f>
        <v>5001</v>
      </c>
      <c r="I179" s="209"/>
      <c r="J179" s="208">
        <f aca="true" t="shared" si="75" ref="J179:R179">+J6+J34+J62+J123</f>
        <v>8899</v>
      </c>
      <c r="K179" s="208">
        <f t="shared" si="75"/>
        <v>1310</v>
      </c>
      <c r="L179" s="208">
        <f t="shared" si="75"/>
        <v>350</v>
      </c>
      <c r="M179" s="208">
        <f t="shared" si="75"/>
        <v>189</v>
      </c>
      <c r="N179" s="208">
        <f t="shared" si="75"/>
        <v>329</v>
      </c>
      <c r="O179" s="208">
        <f t="shared" si="75"/>
        <v>4168</v>
      </c>
      <c r="P179" s="208">
        <f t="shared" si="75"/>
        <v>4313</v>
      </c>
      <c r="Q179" s="208">
        <f t="shared" si="75"/>
        <v>1996</v>
      </c>
      <c r="R179" s="208">
        <f t="shared" si="75"/>
        <v>6346</v>
      </c>
      <c r="S179" s="210">
        <f>+R179/J179</f>
        <v>0.7131138330149455</v>
      </c>
      <c r="T179" s="208">
        <f aca="true" t="shared" si="76" ref="T179:AA179">+T6+T34+T62+T123</f>
        <v>622</v>
      </c>
      <c r="U179" s="208">
        <f t="shared" si="76"/>
        <v>75</v>
      </c>
      <c r="V179" s="208">
        <f t="shared" si="76"/>
        <v>82</v>
      </c>
      <c r="W179" s="208">
        <f t="shared" si="76"/>
        <v>146</v>
      </c>
      <c r="X179" s="208">
        <f t="shared" si="76"/>
        <v>919</v>
      </c>
      <c r="Y179" s="208">
        <f t="shared" si="76"/>
        <v>1040</v>
      </c>
      <c r="Z179" s="208">
        <f t="shared" si="76"/>
        <v>602</v>
      </c>
      <c r="AA179" s="208">
        <f t="shared" si="76"/>
        <v>2255</v>
      </c>
      <c r="AB179" s="210">
        <f t="shared" si="74"/>
        <v>0.25339925834363414</v>
      </c>
      <c r="AC179" s="208">
        <f aca="true" t="shared" si="77" ref="AC179:AJ179">+AC6+AC34+AC62+AC123</f>
        <v>50</v>
      </c>
      <c r="AD179" s="208">
        <f t="shared" si="77"/>
        <v>56</v>
      </c>
      <c r="AE179" s="208">
        <f t="shared" si="77"/>
        <v>1</v>
      </c>
      <c r="AF179" s="208">
        <f t="shared" si="77"/>
        <v>28</v>
      </c>
      <c r="AG179" s="208">
        <f t="shared" si="77"/>
        <v>163</v>
      </c>
      <c r="AH179" s="208">
        <f t="shared" si="77"/>
        <v>195</v>
      </c>
      <c r="AI179" s="208">
        <f t="shared" si="77"/>
        <v>100</v>
      </c>
      <c r="AJ179" s="208">
        <f t="shared" si="77"/>
        <v>298</v>
      </c>
      <c r="AK179" s="210">
        <f t="shared" si="73"/>
        <v>0.033486908641420385</v>
      </c>
    </row>
    <row r="180" spans="2:37" s="212" customFormat="1" ht="12.75">
      <c r="B180" s="213"/>
      <c r="C180" s="213"/>
      <c r="D180" s="214"/>
      <c r="E180" s="215"/>
      <c r="F180" s="215"/>
      <c r="G180" s="215"/>
      <c r="H180" s="215"/>
      <c r="I180" s="216"/>
      <c r="J180" s="215"/>
      <c r="K180" s="217">
        <f>+K179/J179</f>
        <v>0.1472075514102708</v>
      </c>
      <c r="L180" s="217">
        <f>+L179/J179</f>
        <v>0.03933026182717159</v>
      </c>
      <c r="M180" s="217">
        <f>+M179/J179</f>
        <v>0.02123834138667266</v>
      </c>
      <c r="N180" s="217">
        <f>+N179/J179</f>
        <v>0.0369704461175413</v>
      </c>
      <c r="O180" s="217">
        <f>+O179/J179</f>
        <v>0.46836723227328914</v>
      </c>
      <c r="P180" s="217">
        <f>+P179/K179</f>
        <v>3.2923664122137404</v>
      </c>
      <c r="Q180" s="217">
        <f>+Q179/L179</f>
        <v>5.702857142857143</v>
      </c>
      <c r="R180" s="218"/>
      <c r="S180" s="217"/>
      <c r="T180" s="219"/>
      <c r="U180" s="219"/>
      <c r="V180" s="220"/>
      <c r="W180" s="220"/>
      <c r="X180" s="220"/>
      <c r="Y180" s="219"/>
      <c r="Z180" s="219"/>
      <c r="AA180" s="219"/>
      <c r="AB180" s="219"/>
      <c r="AC180" s="219"/>
      <c r="AD180" s="220"/>
      <c r="AE180" s="220"/>
      <c r="AF180" s="220"/>
      <c r="AG180" s="219"/>
      <c r="AH180" s="219"/>
      <c r="AI180" s="219"/>
      <c r="AJ180" s="220"/>
      <c r="AK180" s="220"/>
    </row>
    <row r="181" spans="2:37" s="212" customFormat="1" ht="12.75">
      <c r="B181" s="213"/>
      <c r="C181" s="213"/>
      <c r="D181" s="214"/>
      <c r="E181" s="215"/>
      <c r="F181" s="215"/>
      <c r="G181" s="215"/>
      <c r="H181" s="215"/>
      <c r="I181" s="216"/>
      <c r="J181" s="215"/>
      <c r="K181" s="215"/>
      <c r="L181" s="215"/>
      <c r="M181" s="215"/>
      <c r="N181" s="215"/>
      <c r="O181" s="215"/>
      <c r="P181" s="221"/>
      <c r="Q181" s="221"/>
      <c r="R181" s="215"/>
      <c r="S181" s="217"/>
      <c r="T181" s="215"/>
      <c r="U181" s="215"/>
      <c r="V181" s="215"/>
      <c r="W181" s="215"/>
      <c r="X181" s="215"/>
      <c r="Y181" s="221"/>
      <c r="Z181" s="221"/>
      <c r="AA181" s="222"/>
      <c r="AB181" s="217"/>
      <c r="AC181" s="215"/>
      <c r="AD181" s="215"/>
      <c r="AE181" s="215"/>
      <c r="AF181" s="215"/>
      <c r="AG181" s="215"/>
      <c r="AH181" s="223"/>
      <c r="AI181" s="223"/>
      <c r="AJ181" s="222"/>
      <c r="AK181" s="217"/>
    </row>
    <row r="182" spans="2:37" s="212" customFormat="1" ht="12.75">
      <c r="B182" s="213"/>
      <c r="C182" s="213"/>
      <c r="D182" s="214"/>
      <c r="E182" s="215"/>
      <c r="F182" s="215"/>
      <c r="G182" s="215"/>
      <c r="H182" s="215"/>
      <c r="I182" s="216"/>
      <c r="J182" s="215"/>
      <c r="K182" s="215"/>
      <c r="L182" s="215"/>
      <c r="M182" s="215"/>
      <c r="N182" s="215"/>
      <c r="O182" s="215"/>
      <c r="P182" s="215"/>
      <c r="Q182" s="215"/>
      <c r="R182" s="215"/>
      <c r="S182" s="224"/>
      <c r="T182" s="215"/>
      <c r="U182" s="215"/>
      <c r="V182" s="215"/>
      <c r="W182" s="215"/>
      <c r="X182" s="215"/>
      <c r="Y182" s="215"/>
      <c r="Z182" s="215"/>
      <c r="AA182" s="222"/>
      <c r="AB182" s="224"/>
      <c r="AC182" s="215"/>
      <c r="AD182" s="215"/>
      <c r="AE182" s="215"/>
      <c r="AF182" s="215"/>
      <c r="AG182" s="215"/>
      <c r="AH182" s="223"/>
      <c r="AI182" s="223"/>
      <c r="AJ182" s="222"/>
      <c r="AK182" s="224"/>
    </row>
    <row r="183" spans="4:37" s="225" customFormat="1" ht="12.75">
      <c r="D183" s="226"/>
      <c r="E183" s="227"/>
      <c r="F183" s="227"/>
      <c r="G183" s="227"/>
      <c r="H183" s="227"/>
      <c r="I183" s="228"/>
      <c r="J183" s="229"/>
      <c r="P183" s="230"/>
      <c r="Q183" s="230"/>
      <c r="R183" s="231"/>
      <c r="S183" s="232"/>
      <c r="Y183" s="230"/>
      <c r="Z183" s="230"/>
      <c r="AA183" s="233"/>
      <c r="AB183" s="234"/>
      <c r="AH183" s="235"/>
      <c r="AI183" s="235"/>
      <c r="AJ183" s="233"/>
      <c r="AK183" s="236"/>
    </row>
    <row r="184" spans="4:37" s="225" customFormat="1" ht="12.75">
      <c r="D184" s="226"/>
      <c r="E184" s="227"/>
      <c r="F184" s="227"/>
      <c r="G184" s="227"/>
      <c r="H184" s="227"/>
      <c r="I184" s="228"/>
      <c r="J184" s="229"/>
      <c r="P184" s="230"/>
      <c r="Q184" s="230"/>
      <c r="R184" s="231"/>
      <c r="S184" s="232"/>
      <c r="W184" s="225">
        <v>127</v>
      </c>
      <c r="Y184" s="230"/>
      <c r="Z184" s="230"/>
      <c r="AA184" s="233"/>
      <c r="AB184" s="234"/>
      <c r="AH184" s="235"/>
      <c r="AI184" s="235"/>
      <c r="AJ184" s="233"/>
      <c r="AK184" s="236"/>
    </row>
    <row r="185" spans="4:37" s="225" customFormat="1" ht="12.75">
      <c r="D185" s="226"/>
      <c r="E185" s="227"/>
      <c r="F185" s="227"/>
      <c r="G185" s="227"/>
      <c r="H185" s="227"/>
      <c r="I185" s="228"/>
      <c r="J185" s="229"/>
      <c r="P185" s="230"/>
      <c r="Q185" s="230"/>
      <c r="R185" s="231"/>
      <c r="S185" s="232"/>
      <c r="Y185" s="230"/>
      <c r="Z185" s="230"/>
      <c r="AA185" s="233"/>
      <c r="AB185" s="234"/>
      <c r="AH185" s="235"/>
      <c r="AI185" s="235"/>
      <c r="AJ185" s="233"/>
      <c r="AK185" s="236"/>
    </row>
    <row r="186" ht="12">
      <c r="AN186" s="237"/>
    </row>
    <row r="187" ht="12">
      <c r="AN187" s="237"/>
    </row>
    <row r="188" ht="12">
      <c r="AN188" s="237"/>
    </row>
  </sheetData>
  <sheetProtection selectLockedCells="1" selectUnlockedCells="1"/>
  <mergeCells count="19">
    <mergeCell ref="AC4:AI4"/>
    <mergeCell ref="AJ4:AJ5"/>
    <mergeCell ref="AK4:AK5"/>
    <mergeCell ref="J4:J5"/>
    <mergeCell ref="K4:R4"/>
    <mergeCell ref="S4:S5"/>
    <mergeCell ref="T4:Z4"/>
    <mergeCell ref="AA4:AA5"/>
    <mergeCell ref="AB4:AB5"/>
    <mergeCell ref="A1:AK1"/>
    <mergeCell ref="A2:AK2"/>
    <mergeCell ref="A3:AK3"/>
    <mergeCell ref="A4:A5"/>
    <mergeCell ref="B4:B5"/>
    <mergeCell ref="C4:C5"/>
    <mergeCell ref="D4:D5"/>
    <mergeCell ref="E4:E5"/>
    <mergeCell ref="G4:H4"/>
    <mergeCell ref="I4:I5"/>
  </mergeCells>
  <printOptions horizontalCentered="1"/>
  <pageMargins left="0.7479166666666667" right="0.7479166666666667" top="0.9840277777777777" bottom="0.9840277777777777" header="0.5118055555555555" footer="0.5118055555555555"/>
  <pageSetup fitToHeight="5" fitToWidth="1" horizontalDpi="300" verticalDpi="300" orientation="landscape" scale="67"/>
  <rowBreaks count="6" manualBreakCount="6">
    <brk id="3" max="255" man="1"/>
    <brk id="33" max="255" man="1"/>
    <brk id="61" max="255" man="1"/>
    <brk id="89" max="255" man="1"/>
    <brk id="122" max="255" man="1"/>
    <brk id="173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="65" zoomScaleNormal="65" zoomScaleSheetLayoutView="65" workbookViewId="0" topLeftCell="A1">
      <selection activeCell="B12" activeCellId="1" sqref="N57:N58 B12"/>
    </sheetView>
  </sheetViews>
  <sheetFormatPr defaultColWidth="11.57421875" defaultRowHeight="12.75"/>
  <cols>
    <col min="1" max="16384" width="11.421875" style="0" customWidth="1"/>
  </cols>
  <sheetData>
    <row r="1" ht="12">
      <c r="A1" s="238" t="s">
        <v>259</v>
      </c>
    </row>
    <row r="3" spans="1:3" ht="12">
      <c r="A3" s="273" t="s">
        <v>260</v>
      </c>
      <c r="B3" s="239"/>
      <c r="C3" s="240"/>
    </row>
    <row r="4" spans="1:3" ht="12">
      <c r="A4" s="241" t="s">
        <v>71</v>
      </c>
      <c r="B4" s="242" t="s">
        <v>70</v>
      </c>
      <c r="C4" s="243"/>
    </row>
    <row r="5" spans="1:3" ht="12">
      <c r="A5" s="244">
        <v>2</v>
      </c>
      <c r="B5" s="245">
        <v>15</v>
      </c>
      <c r="C5" s="246">
        <v>1</v>
      </c>
    </row>
    <row r="6" spans="1:3" ht="12">
      <c r="A6" s="244">
        <v>3</v>
      </c>
      <c r="B6" s="245">
        <v>9</v>
      </c>
      <c r="C6" s="246">
        <v>1</v>
      </c>
    </row>
    <row r="7" spans="1:3" ht="12">
      <c r="A7" s="244">
        <v>6</v>
      </c>
      <c r="B7" s="245">
        <v>19</v>
      </c>
      <c r="C7" s="246">
        <v>1</v>
      </c>
    </row>
    <row r="8" spans="1:3" ht="12">
      <c r="A8" s="244">
        <v>8</v>
      </c>
      <c r="B8" s="245">
        <v>15</v>
      </c>
      <c r="C8" s="246">
        <v>1</v>
      </c>
    </row>
    <row r="9" spans="1:3" ht="12">
      <c r="A9" s="247">
        <v>11</v>
      </c>
      <c r="B9" s="248">
        <v>12</v>
      </c>
      <c r="C9" s="249">
        <v>1</v>
      </c>
    </row>
    <row r="10" spans="1:3" ht="12">
      <c r="A10" s="250"/>
      <c r="B10" s="251">
        <v>29</v>
      </c>
      <c r="C10" s="252">
        <v>1</v>
      </c>
    </row>
    <row r="11" spans="1:3" ht="12">
      <c r="A11" s="244">
        <v>14</v>
      </c>
      <c r="B11" s="245">
        <v>13</v>
      </c>
      <c r="C11" s="246">
        <v>1</v>
      </c>
    </row>
    <row r="12" spans="1:3" ht="12">
      <c r="A12" s="244">
        <v>22</v>
      </c>
      <c r="B12" s="245">
        <v>50</v>
      </c>
      <c r="C12" s="246">
        <v>1</v>
      </c>
    </row>
    <row r="13" spans="1:3" ht="12">
      <c r="A13" s="244">
        <v>106</v>
      </c>
      <c r="B13" s="245">
        <v>245</v>
      </c>
      <c r="C13" s="246">
        <v>1</v>
      </c>
    </row>
    <row r="14" spans="1:3" ht="12">
      <c r="A14" s="244">
        <v>229</v>
      </c>
      <c r="B14" s="245">
        <v>379</v>
      </c>
      <c r="C14" s="246">
        <v>1</v>
      </c>
    </row>
    <row r="15" spans="1:3" ht="12">
      <c r="A15" s="253" t="s">
        <v>261</v>
      </c>
      <c r="B15" s="254"/>
      <c r="C15" s="255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