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0" windowWidth="11340" windowHeight="6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'Sheet1'!$A$1:$S$535</definedName>
  </definedNames>
  <calcPr fullCalcOnLoad="1"/>
</workbook>
</file>

<file path=xl/sharedStrings.xml><?xml version="1.0" encoding="utf-8"?>
<sst xmlns="http://schemas.openxmlformats.org/spreadsheetml/2006/main" count="1363" uniqueCount="256">
  <si>
    <t>PARISHES</t>
  </si>
  <si>
    <t>LENGTH</t>
  </si>
  <si>
    <t xml:space="preserve">AREA OF </t>
  </si>
  <si>
    <t>REPLACEMENT</t>
  </si>
  <si>
    <t>TOTAL</t>
  </si>
  <si>
    <t>(Feet)</t>
  </si>
  <si>
    <t>PAVEMENTS</t>
  </si>
  <si>
    <t>COST</t>
  </si>
  <si>
    <t>( Sq.Ft.)</t>
  </si>
  <si>
    <t>(Per Sq.Ft.)</t>
  </si>
  <si>
    <t>Vieux Fort</t>
  </si>
  <si>
    <t>Castries</t>
  </si>
  <si>
    <t>Airport Runways</t>
  </si>
  <si>
    <t>Parish</t>
  </si>
  <si>
    <t>Year</t>
  </si>
  <si>
    <t>Distance</t>
  </si>
  <si>
    <t>Building</t>
  </si>
  <si>
    <t>Contents</t>
  </si>
  <si>
    <t>Built</t>
  </si>
  <si>
    <t>from coast</t>
  </si>
  <si>
    <t>Value</t>
  </si>
  <si>
    <t>Market</t>
  </si>
  <si>
    <t>CASTRIES</t>
  </si>
  <si>
    <t>1880's</t>
  </si>
  <si>
    <t>0.1</t>
  </si>
  <si>
    <t>NI Block D</t>
  </si>
  <si>
    <t>0.10</t>
  </si>
  <si>
    <t>NI Block  A</t>
  </si>
  <si>
    <t>NI Block B</t>
  </si>
  <si>
    <t>NI Block C</t>
  </si>
  <si>
    <t>P.S.MB</t>
  </si>
  <si>
    <t>PS. S</t>
  </si>
  <si>
    <t>P.S  NS</t>
  </si>
  <si>
    <t>P.S  NS1</t>
  </si>
  <si>
    <t>Fisheries</t>
  </si>
  <si>
    <t>Vendors</t>
  </si>
  <si>
    <t>Printery</t>
  </si>
  <si>
    <t>0.15</t>
  </si>
  <si>
    <t>Gov't Bldg</t>
  </si>
  <si>
    <t>0.20</t>
  </si>
  <si>
    <t>Town Hall</t>
  </si>
  <si>
    <t>0.3</t>
  </si>
  <si>
    <t>Registry</t>
  </si>
  <si>
    <t>Min.   Of Educ.</t>
  </si>
  <si>
    <t>1970's</t>
  </si>
  <si>
    <t>0.2</t>
  </si>
  <si>
    <t>Post Office</t>
  </si>
  <si>
    <t>NCB/SLDB</t>
  </si>
  <si>
    <t>LUCELEC</t>
  </si>
  <si>
    <t>Cul. Complex</t>
  </si>
  <si>
    <t>0.25</t>
  </si>
  <si>
    <t>Min. Of Cul</t>
  </si>
  <si>
    <t>Fire Stations</t>
  </si>
  <si>
    <t>Min. Trade W/hse</t>
  </si>
  <si>
    <t>.1</t>
  </si>
  <si>
    <t>Old CDCs</t>
  </si>
  <si>
    <t>.25</t>
  </si>
  <si>
    <t>Buildings</t>
  </si>
  <si>
    <t>CASTRIES FISHERIES COMPLEX</t>
  </si>
  <si>
    <t>Mechanic Shop</t>
  </si>
  <si>
    <t>1M</t>
  </si>
  <si>
    <t>Processing Bldg.</t>
  </si>
  <si>
    <t>Cold Storage</t>
  </si>
  <si>
    <t>Elec. Cont. Room</t>
  </si>
  <si>
    <t>Toilets</t>
  </si>
  <si>
    <t>Sales Building</t>
  </si>
  <si>
    <t>Boat Eng/Store Rm</t>
  </si>
  <si>
    <t>Fishermen Storage</t>
  </si>
  <si>
    <t>VIGIE SPORTS COMPLEX</t>
  </si>
  <si>
    <t>Spectators Stand</t>
  </si>
  <si>
    <t>2M</t>
  </si>
  <si>
    <t>Toilet &amp; Meeting Rm</t>
  </si>
  <si>
    <t>Commentators Bld.</t>
  </si>
  <si>
    <t>Storage</t>
  </si>
  <si>
    <t>Ticket Booth</t>
  </si>
  <si>
    <t>ST.LUCIA MARKETING BOARD</t>
  </si>
  <si>
    <t>Sales/Purchasing</t>
  </si>
  <si>
    <t>General Offices</t>
  </si>
  <si>
    <t>Mechancial Dept.</t>
  </si>
  <si>
    <t>WATER AND SEWERAGE AUTHORITY</t>
  </si>
  <si>
    <t>Admin. Building</t>
  </si>
  <si>
    <t>1970'S</t>
  </si>
  <si>
    <t>Technical Dept.</t>
  </si>
  <si>
    <t>Technical Office</t>
  </si>
  <si>
    <t>Garage/Storage</t>
  </si>
  <si>
    <t xml:space="preserve"> </t>
  </si>
  <si>
    <t>Dennery</t>
  </si>
  <si>
    <t>Micoud</t>
  </si>
  <si>
    <t>Factory</t>
  </si>
  <si>
    <t>Schools</t>
  </si>
  <si>
    <t>1960's</t>
  </si>
  <si>
    <t>8.0</t>
  </si>
  <si>
    <t>20.0</t>
  </si>
  <si>
    <t>15.0</t>
  </si>
  <si>
    <t>25,000.00</t>
  </si>
  <si>
    <t>0.75</t>
  </si>
  <si>
    <t>10</t>
  </si>
  <si>
    <t>6</t>
  </si>
  <si>
    <t>SOUFRIERE</t>
  </si>
  <si>
    <t>CHOSEUL</t>
  </si>
  <si>
    <t>LABORIE</t>
  </si>
  <si>
    <t>VIEUX FORT</t>
  </si>
  <si>
    <t>MICOUD</t>
  </si>
  <si>
    <t>DENNERY</t>
  </si>
  <si>
    <t>CHOISEUL</t>
  </si>
  <si>
    <t>GROS ISLET</t>
  </si>
  <si>
    <t>VIEUX FORT (P)</t>
  </si>
  <si>
    <t>VIEUX FORT (CA)</t>
  </si>
  <si>
    <t>VIEUX FORT (CB)</t>
  </si>
  <si>
    <t>1980's</t>
  </si>
  <si>
    <t>VF Compreh.</t>
  </si>
  <si>
    <t>AUGIER</t>
  </si>
  <si>
    <t>Gros Islet</t>
  </si>
  <si>
    <t>1.0</t>
  </si>
  <si>
    <t>SLASPA BUILDINGS</t>
  </si>
  <si>
    <t>Banana</t>
  </si>
  <si>
    <t>Concrete Shed</t>
  </si>
  <si>
    <t>Workshop</t>
  </si>
  <si>
    <t>Sheds</t>
  </si>
  <si>
    <t>Customs 1</t>
  </si>
  <si>
    <t>Customs 2</t>
  </si>
  <si>
    <t>LPC</t>
  </si>
  <si>
    <t>HQ</t>
  </si>
  <si>
    <t>GEORGE FL CHARLES AIRPORT</t>
  </si>
  <si>
    <t>Terminal</t>
  </si>
  <si>
    <t>Canopy</t>
  </si>
  <si>
    <t>Mtc. Garage</t>
  </si>
  <si>
    <t>Fire Hall</t>
  </si>
  <si>
    <t>1979/96</t>
  </si>
  <si>
    <t>Cargo Shed</t>
  </si>
  <si>
    <t>PORT VIEUX FORT</t>
  </si>
  <si>
    <t>Administration</t>
  </si>
  <si>
    <t>Shed</t>
  </si>
  <si>
    <t>Security</t>
  </si>
  <si>
    <t>HEWANORRA AIRPORT</t>
  </si>
  <si>
    <t>Hewanorra</t>
  </si>
  <si>
    <t>Victoria Hospital - Castries</t>
  </si>
  <si>
    <t>"L" Block</t>
  </si>
  <si>
    <t>Maternity</t>
  </si>
  <si>
    <t>Baron Wing</t>
  </si>
  <si>
    <t>Paeditrics</t>
  </si>
  <si>
    <t>Chest Wing</t>
  </si>
  <si>
    <t>Nurses Qtrs.</t>
  </si>
  <si>
    <t>Administra.</t>
  </si>
  <si>
    <t>Laboratory</t>
  </si>
  <si>
    <t>Kitchen</t>
  </si>
  <si>
    <t>Drs. Residen.</t>
  </si>
  <si>
    <t>Boiler hse.</t>
  </si>
  <si>
    <t>Generator 1</t>
  </si>
  <si>
    <t>Generator 2</t>
  </si>
  <si>
    <t>Sterilzation</t>
  </si>
  <si>
    <t>Mobile unit</t>
  </si>
  <si>
    <t>Hospitals</t>
  </si>
  <si>
    <t>PARISH</t>
  </si>
  <si>
    <t>Asphalt</t>
  </si>
  <si>
    <t>Gravel</t>
  </si>
  <si>
    <t>Earthen</t>
  </si>
  <si>
    <t>Concrete</t>
  </si>
  <si>
    <t>Zone 1</t>
  </si>
  <si>
    <t>Zone  2</t>
  </si>
  <si>
    <t>Zone 3</t>
  </si>
  <si>
    <t>Zone 4A</t>
  </si>
  <si>
    <t>Zone 4b</t>
  </si>
  <si>
    <t>Zone 5a</t>
  </si>
  <si>
    <t>Zone 5b</t>
  </si>
  <si>
    <t>Zone 5c</t>
  </si>
  <si>
    <t>Zone 6a</t>
  </si>
  <si>
    <t>Zone 6b</t>
  </si>
  <si>
    <t>Zone 7</t>
  </si>
  <si>
    <t>Zone 8a</t>
  </si>
  <si>
    <t>Zone 8b</t>
  </si>
  <si>
    <t>Roadworks</t>
  </si>
  <si>
    <t>Slope Protection</t>
  </si>
  <si>
    <t>518,000.00</t>
  </si>
  <si>
    <t>Sea Ports</t>
  </si>
  <si>
    <t>Parishes</t>
  </si>
  <si>
    <t>Elevation</t>
  </si>
  <si>
    <t xml:space="preserve">Design </t>
  </si>
  <si>
    <t>(ft)</t>
  </si>
  <si>
    <t>Wave</t>
  </si>
  <si>
    <t>Height</t>
  </si>
  <si>
    <t>1940's</t>
  </si>
  <si>
    <t>QF         -   Quarry Fill</t>
  </si>
  <si>
    <t>RC         -   Reinforced Concrete</t>
  </si>
  <si>
    <t>SSP       -   Steel Sheet Pile</t>
  </si>
  <si>
    <t>STRODS -   Steel Tie Rods</t>
  </si>
  <si>
    <t>ASP        -   Asphalt</t>
  </si>
  <si>
    <t>WPLS     -   Wooden Piles</t>
  </si>
  <si>
    <t>Wharves</t>
  </si>
  <si>
    <t>Complex</t>
  </si>
  <si>
    <t>Struct No.</t>
  </si>
  <si>
    <t>Site</t>
  </si>
  <si>
    <t>Struct.</t>
  </si>
  <si>
    <t>Content</t>
  </si>
  <si>
    <t>Equipment</t>
  </si>
  <si>
    <t>Ext.Equip</t>
  </si>
  <si>
    <t>Structural</t>
  </si>
  <si>
    <t>Equipement</t>
  </si>
  <si>
    <t>ft.</t>
  </si>
  <si>
    <t>Speed</t>
  </si>
  <si>
    <t>Damage</t>
  </si>
  <si>
    <t>mph</t>
  </si>
  <si>
    <t>Ratio</t>
  </si>
  <si>
    <t>$</t>
  </si>
  <si>
    <t>5a</t>
  </si>
  <si>
    <t>5b</t>
  </si>
  <si>
    <t>5c</t>
  </si>
  <si>
    <t>5e</t>
  </si>
  <si>
    <r>
      <t>K</t>
    </r>
    <r>
      <rPr>
        <b/>
        <sz val="6"/>
        <rFont val="CG Times"/>
        <family val="1"/>
      </rPr>
      <t>2</t>
    </r>
  </si>
  <si>
    <t>Return Period</t>
  </si>
  <si>
    <t>50 years</t>
  </si>
  <si>
    <t>100 years</t>
  </si>
  <si>
    <t xml:space="preserve">Failure </t>
  </si>
  <si>
    <t>z</t>
  </si>
  <si>
    <r>
      <t>P</t>
    </r>
    <r>
      <rPr>
        <b/>
        <sz val="6"/>
        <rFont val="cgtimes"/>
        <family val="0"/>
      </rPr>
      <t>f</t>
    </r>
  </si>
  <si>
    <t>Rep. Cost</t>
  </si>
  <si>
    <t>Damage to</t>
  </si>
  <si>
    <t>Wharf</t>
  </si>
  <si>
    <t>S</t>
  </si>
  <si>
    <t>Erosion</t>
  </si>
  <si>
    <t>Pavement</t>
  </si>
  <si>
    <t>Failure</t>
  </si>
  <si>
    <t>Potential</t>
  </si>
  <si>
    <t>Resistance</t>
  </si>
  <si>
    <t>Likelihood</t>
  </si>
  <si>
    <t>Probability</t>
  </si>
  <si>
    <t>H</t>
  </si>
  <si>
    <t>VH</t>
  </si>
  <si>
    <t>M</t>
  </si>
  <si>
    <t>Design</t>
  </si>
  <si>
    <t>Moment</t>
  </si>
  <si>
    <t>due to</t>
  </si>
  <si>
    <t>Wind</t>
  </si>
  <si>
    <t>SUMMARY</t>
  </si>
  <si>
    <t>Structure</t>
  </si>
  <si>
    <t>% PML</t>
  </si>
  <si>
    <t>Seaports</t>
  </si>
  <si>
    <t>Total</t>
  </si>
  <si>
    <t>Miles</t>
  </si>
  <si>
    <t>Replacement</t>
  </si>
  <si>
    <t>of</t>
  </si>
  <si>
    <t>Cost per Mile</t>
  </si>
  <si>
    <t>Road</t>
  </si>
  <si>
    <t>L</t>
  </si>
  <si>
    <t>Surface Dres</t>
  </si>
  <si>
    <t>Paved</t>
  </si>
  <si>
    <t>Area</t>
  </si>
  <si>
    <t>Cost per Sq. ft.</t>
  </si>
  <si>
    <t>Infrastructure</t>
  </si>
  <si>
    <t>Element</t>
  </si>
  <si>
    <t>Cost (EC$)</t>
  </si>
  <si>
    <t>(EC$)</t>
  </si>
  <si>
    <t>Appendix III: Section 4.0 (3) 50% Upper Prediction Limit (UPL) MLE 100-Year Mean Return Period Event</t>
  </si>
  <si>
    <t>Wind Speed (mph)</t>
  </si>
  <si>
    <t>90% UPL</t>
  </si>
  <si>
    <t>50% UPL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</si>
</sst>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$-2409]#,##0.00"/>
    <numFmt numFmtId="166" formatCode="_(* #,##0.0_);_(* \(#,##0.0\);_(* &quot;-&quot;??_);_(@_)"/>
    <numFmt numFmtId="167" formatCode="&quot;$&quot;#,##0.00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"/>
    <numFmt numFmtId="176" formatCode="_(* #,##0_);_(* \(#,##0\);_(* &quot;-&quot;??_);_(@_)"/>
    <numFmt numFmtId="177" formatCode="#,##0.0000"/>
    <numFmt numFmtId="178" formatCode="[$$-2409]#,##0"/>
  </numFmts>
  <fonts count="16">
    <font>
      <sz val="10"/>
      <name val="Arial"/>
      <family val="0"/>
    </font>
    <font>
      <b/>
      <sz val="9"/>
      <name val="CG Times"/>
      <family val="1"/>
    </font>
    <font>
      <sz val="9"/>
      <name val="CG Times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Calisto MT"/>
      <family val="1"/>
    </font>
    <font>
      <b/>
      <sz val="6"/>
      <name val="CG Times"/>
      <family val="1"/>
    </font>
    <font>
      <b/>
      <sz val="12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sz val="9"/>
      <name val="cgtimes"/>
      <family val="0"/>
    </font>
    <font>
      <b/>
      <sz val="6"/>
      <name val="cgtimes"/>
      <family val="0"/>
    </font>
    <font>
      <sz val="9"/>
      <name val="GreekC"/>
      <family val="0"/>
    </font>
    <font>
      <sz val="9"/>
      <name val="cgtimes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43" fontId="2" fillId="0" borderId="7" xfId="15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2" fillId="0" borderId="8" xfId="15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8" xfId="15" applyNumberFormat="1" applyFont="1" applyBorder="1" applyAlignment="1">
      <alignment/>
    </xf>
    <xf numFmtId="49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5" fontId="1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3" fontId="2" fillId="0" borderId="6" xfId="15" applyFont="1" applyBorder="1" applyAlignment="1">
      <alignment horizontal="right"/>
    </xf>
    <xf numFmtId="43" fontId="2" fillId="0" borderId="6" xfId="15" applyFont="1" applyBorder="1" applyAlignment="1">
      <alignment/>
    </xf>
    <xf numFmtId="164" fontId="2" fillId="0" borderId="8" xfId="15" applyNumberFormat="1" applyFont="1" applyBorder="1" applyAlignment="1">
      <alignment horizontal="right"/>
    </xf>
    <xf numFmtId="164" fontId="2" fillId="0" borderId="14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5" fontId="2" fillId="0" borderId="1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43" fontId="2" fillId="0" borderId="8" xfId="15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16" fontId="2" fillId="0" borderId="8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176" fontId="2" fillId="0" borderId="14" xfId="15" applyNumberFormat="1" applyFont="1" applyBorder="1" applyAlignment="1">
      <alignment horizontal="right"/>
    </xf>
    <xf numFmtId="176" fontId="2" fillId="0" borderId="8" xfId="15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6" fontId="2" fillId="0" borderId="8" xfId="15" applyNumberFormat="1" applyFont="1" applyBorder="1" applyAlignment="1">
      <alignment/>
    </xf>
    <xf numFmtId="41" fontId="9" fillId="0" borderId="7" xfId="15" applyNumberFormat="1" applyFont="1" applyBorder="1" applyAlignment="1">
      <alignment horizontal="right"/>
    </xf>
    <xf numFmtId="43" fontId="2" fillId="0" borderId="3" xfId="15" applyFont="1" applyBorder="1" applyAlignment="1">
      <alignment/>
    </xf>
    <xf numFmtId="0" fontId="13" fillId="0" borderId="0" xfId="0" applyFont="1" applyAlignment="1">
      <alignment horizontal="center"/>
    </xf>
    <xf numFmtId="3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14" fillId="0" borderId="15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6" fontId="2" fillId="0" borderId="2" xfId="15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8" xfId="15" applyNumberFormat="1" applyFont="1" applyBorder="1" applyAlignment="1">
      <alignment horizontal="center"/>
    </xf>
    <xf numFmtId="176" fontId="2" fillId="0" borderId="15" xfId="15" applyNumberFormat="1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176" fontId="2" fillId="0" borderId="2" xfId="15" applyNumberFormat="1" applyFont="1" applyBorder="1" applyAlignment="1">
      <alignment/>
    </xf>
    <xf numFmtId="41" fontId="9" fillId="0" borderId="1" xfId="15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176" fontId="2" fillId="0" borderId="0" xfId="15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176" fontId="14" fillId="0" borderId="0" xfId="15" applyNumberFormat="1" applyFont="1" applyBorder="1" applyAlignment="1">
      <alignment/>
    </xf>
    <xf numFmtId="176" fontId="14" fillId="0" borderId="4" xfId="15" applyNumberFormat="1" applyFont="1" applyBorder="1" applyAlignment="1">
      <alignment/>
    </xf>
    <xf numFmtId="176" fontId="14" fillId="0" borderId="2" xfId="15" applyNumberFormat="1" applyFont="1" applyBorder="1" applyAlignment="1">
      <alignment/>
    </xf>
    <xf numFmtId="43" fontId="2" fillId="0" borderId="4" xfId="15" applyFont="1" applyBorder="1" applyAlignment="1">
      <alignment/>
    </xf>
    <xf numFmtId="176" fontId="14" fillId="0" borderId="16" xfId="15" applyNumberFormat="1" applyFont="1" applyBorder="1" applyAlignment="1">
      <alignment/>
    </xf>
    <xf numFmtId="176" fontId="14" fillId="0" borderId="6" xfId="15" applyNumberFormat="1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176" fontId="14" fillId="0" borderId="7" xfId="15" applyNumberFormat="1" applyFont="1" applyBorder="1" applyAlignment="1">
      <alignment/>
    </xf>
    <xf numFmtId="176" fontId="2" fillId="0" borderId="0" xfId="15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167" fontId="2" fillId="0" borderId="8" xfId="17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1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1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1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1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1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1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vmlDrawing" Target="../drawings/vmlDrawing1.v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6"/>
  <sheetViews>
    <sheetView tabSelected="1" zoomScaleSheetLayoutView="45" workbookViewId="0" topLeftCell="A1">
      <selection activeCell="C5" sqref="C5"/>
    </sheetView>
  </sheetViews>
  <sheetFormatPr defaultColWidth="9.140625" defaultRowHeight="12.75"/>
  <cols>
    <col min="1" max="1" width="11.57421875" style="4" customWidth="1"/>
    <col min="2" max="2" width="9.7109375" style="4" customWidth="1"/>
    <col min="3" max="3" width="12.140625" style="4" customWidth="1"/>
    <col min="4" max="4" width="13.140625" style="4" customWidth="1"/>
    <col min="5" max="5" width="13.00390625" style="4" customWidth="1"/>
    <col min="6" max="6" width="12.00390625" style="4" customWidth="1"/>
    <col min="7" max="7" width="13.140625" style="4" customWidth="1"/>
    <col min="8" max="8" width="11.7109375" style="4" customWidth="1"/>
    <col min="9" max="9" width="11.421875" style="4" customWidth="1"/>
    <col min="10" max="10" width="9.57421875" style="4" customWidth="1"/>
    <col min="11" max="11" width="10.7109375" style="4" customWidth="1"/>
    <col min="12" max="12" width="12.8515625" style="24" customWidth="1"/>
    <col min="13" max="13" width="9.7109375" style="4" customWidth="1"/>
    <col min="14" max="14" width="11.57421875" style="24" customWidth="1"/>
    <col min="15" max="15" width="10.140625" style="4" customWidth="1"/>
    <col min="16" max="16" width="12.00390625" style="4" customWidth="1"/>
    <col min="17" max="17" width="12.140625" style="4" customWidth="1"/>
    <col min="18" max="18" width="10.421875" style="4" customWidth="1"/>
    <col min="19" max="19" width="10.7109375" style="4" customWidth="1"/>
    <col min="20" max="20" width="10.8515625" style="4" customWidth="1"/>
    <col min="21" max="21" width="10.57421875" style="4" customWidth="1"/>
    <col min="22" max="23" width="9.140625" style="4" customWidth="1"/>
    <col min="24" max="24" width="12.00390625" style="4" customWidth="1"/>
    <col min="25" max="25" width="11.00390625" style="4" customWidth="1"/>
    <col min="26" max="26" width="12.140625" style="4" customWidth="1"/>
    <col min="27" max="27" width="10.7109375" style="4" customWidth="1"/>
    <col min="28" max="28" width="11.8515625" style="4" customWidth="1"/>
    <col min="29" max="29" width="11.421875" style="4" customWidth="1"/>
    <col min="30" max="30" width="12.57421875" style="4" customWidth="1"/>
    <col min="31" max="31" width="10.8515625" style="4" customWidth="1"/>
    <col min="32" max="32" width="11.28125" style="4" customWidth="1"/>
    <col min="33" max="33" width="12.140625" style="4" customWidth="1"/>
    <col min="34" max="52" width="9.140625" style="4" customWidth="1"/>
  </cols>
  <sheetData>
    <row r="1" spans="1:10" ht="15.75">
      <c r="A1" s="176" t="s">
        <v>252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12.75">
      <c r="A2" s="17"/>
    </row>
    <row r="3" spans="1:9" ht="12.75">
      <c r="A3" s="184"/>
      <c r="B3" s="180"/>
      <c r="C3" s="179" t="s">
        <v>253</v>
      </c>
      <c r="D3" s="180"/>
      <c r="E3" s="58"/>
      <c r="F3" s="173"/>
      <c r="G3" s="173"/>
      <c r="H3" s="171"/>
      <c r="I3" s="171"/>
    </row>
    <row r="4" spans="1:9" ht="12.75">
      <c r="A4" s="177" t="s">
        <v>209</v>
      </c>
      <c r="B4" s="181"/>
      <c r="C4" s="88" t="s">
        <v>255</v>
      </c>
      <c r="D4" s="89" t="s">
        <v>254</v>
      </c>
      <c r="F4" s="172"/>
      <c r="G4" s="172"/>
      <c r="H4" s="119"/>
      <c r="I4" s="119"/>
    </row>
    <row r="5" spans="1:9" ht="13.5" thickBot="1">
      <c r="A5" s="182" t="s">
        <v>210</v>
      </c>
      <c r="B5" s="183"/>
      <c r="C5" s="96">
        <v>100</v>
      </c>
      <c r="D5" s="91">
        <v>116</v>
      </c>
      <c r="F5" s="172"/>
      <c r="G5" s="172"/>
      <c r="H5" s="119"/>
      <c r="I5" s="119"/>
    </row>
    <row r="6" spans="1:9" ht="13.5" thickBot="1">
      <c r="A6" s="177" t="s">
        <v>211</v>
      </c>
      <c r="B6" s="178"/>
      <c r="C6" s="90">
        <v>113</v>
      </c>
      <c r="D6" s="87">
        <v>136</v>
      </c>
      <c r="F6" s="172"/>
      <c r="G6" s="172"/>
      <c r="H6" s="119"/>
      <c r="I6" s="119"/>
    </row>
    <row r="8" ht="12.75">
      <c r="A8" s="17" t="s">
        <v>21</v>
      </c>
    </row>
    <row r="9" spans="1:52" s="25" customFormat="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85" t="s">
        <v>204</v>
      </c>
      <c r="G9" s="85" t="s">
        <v>205</v>
      </c>
      <c r="H9" s="18" t="s">
        <v>206</v>
      </c>
      <c r="I9" s="18" t="s">
        <v>207</v>
      </c>
      <c r="J9" s="18">
        <v>6</v>
      </c>
      <c r="K9" s="18">
        <v>25</v>
      </c>
      <c r="L9" s="18">
        <v>26</v>
      </c>
      <c r="M9" s="18">
        <v>28</v>
      </c>
      <c r="N9" s="18">
        <v>29</v>
      </c>
      <c r="O9" s="18">
        <v>30</v>
      </c>
      <c r="P9" s="18">
        <v>31</v>
      </c>
      <c r="Q9" s="18">
        <v>32</v>
      </c>
      <c r="R9" s="18">
        <v>33</v>
      </c>
      <c r="S9" s="18">
        <v>34</v>
      </c>
      <c r="U9" s="62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21" ht="12">
      <c r="A10" s="2" t="s">
        <v>190</v>
      </c>
      <c r="B10" s="36" t="s">
        <v>13</v>
      </c>
      <c r="C10" s="33" t="s">
        <v>14</v>
      </c>
      <c r="D10" s="36" t="s">
        <v>176</v>
      </c>
      <c r="E10" s="33" t="s">
        <v>15</v>
      </c>
      <c r="F10" s="36" t="s">
        <v>208</v>
      </c>
      <c r="G10" s="36"/>
      <c r="H10" s="32"/>
      <c r="I10" s="36"/>
      <c r="J10" s="36" t="s">
        <v>191</v>
      </c>
      <c r="K10" s="36" t="s">
        <v>192</v>
      </c>
      <c r="L10" s="36" t="s">
        <v>16</v>
      </c>
      <c r="M10" s="36" t="s">
        <v>193</v>
      </c>
      <c r="N10" s="33" t="s">
        <v>17</v>
      </c>
      <c r="O10" s="36" t="s">
        <v>194</v>
      </c>
      <c r="P10" s="36" t="s">
        <v>195</v>
      </c>
      <c r="Q10" s="33" t="s">
        <v>196</v>
      </c>
      <c r="R10" s="36" t="s">
        <v>193</v>
      </c>
      <c r="S10" s="36" t="s">
        <v>197</v>
      </c>
      <c r="U10" s="32"/>
    </row>
    <row r="11" spans="1:21" ht="12">
      <c r="A11" s="61"/>
      <c r="B11" s="37"/>
      <c r="C11" s="32" t="s">
        <v>18</v>
      </c>
      <c r="D11" s="37" t="s">
        <v>198</v>
      </c>
      <c r="E11" s="32" t="s">
        <v>19</v>
      </c>
      <c r="F11" s="37"/>
      <c r="G11" s="37"/>
      <c r="H11" s="32"/>
      <c r="I11" s="37"/>
      <c r="J11" s="37" t="s">
        <v>199</v>
      </c>
      <c r="K11" s="37" t="s">
        <v>200</v>
      </c>
      <c r="L11" s="37" t="s">
        <v>20</v>
      </c>
      <c r="M11" s="37" t="s">
        <v>200</v>
      </c>
      <c r="N11" s="32" t="s">
        <v>20</v>
      </c>
      <c r="O11" s="37" t="s">
        <v>200</v>
      </c>
      <c r="P11" s="37" t="s">
        <v>20</v>
      </c>
      <c r="Q11" s="32" t="s">
        <v>200</v>
      </c>
      <c r="R11" s="37" t="s">
        <v>200</v>
      </c>
      <c r="S11" s="37" t="s">
        <v>200</v>
      </c>
      <c r="U11" s="32"/>
    </row>
    <row r="12" spans="1:21" ht="12.75">
      <c r="A12" s="63"/>
      <c r="B12" s="29"/>
      <c r="C12" s="64"/>
      <c r="D12" s="29"/>
      <c r="E12" s="64"/>
      <c r="F12" s="29"/>
      <c r="G12" s="64"/>
      <c r="H12" s="10"/>
      <c r="I12" s="29"/>
      <c r="J12" s="38" t="s">
        <v>201</v>
      </c>
      <c r="K12" s="38" t="s">
        <v>202</v>
      </c>
      <c r="L12" s="29"/>
      <c r="M12" s="38" t="s">
        <v>202</v>
      </c>
      <c r="N12" s="64"/>
      <c r="O12" s="38" t="s">
        <v>202</v>
      </c>
      <c r="P12" s="29"/>
      <c r="Q12" s="64" t="s">
        <v>203</v>
      </c>
      <c r="R12" s="38" t="s">
        <v>203</v>
      </c>
      <c r="S12" s="29" t="s">
        <v>203</v>
      </c>
      <c r="U12" s="62"/>
    </row>
    <row r="13" spans="1:21" ht="12.75">
      <c r="A13" s="29">
        <v>1</v>
      </c>
      <c r="B13" s="41" t="s">
        <v>11</v>
      </c>
      <c r="C13" s="29">
        <v>1992</v>
      </c>
      <c r="D13" s="29">
        <v>8</v>
      </c>
      <c r="E13" s="29">
        <v>0.1</v>
      </c>
      <c r="F13" s="29">
        <v>0.6</v>
      </c>
      <c r="G13" s="86">
        <f>1+F13*(0.2)</f>
        <v>1.12</v>
      </c>
      <c r="H13" s="86">
        <v>1</v>
      </c>
      <c r="I13" s="86">
        <f>G13*H13</f>
        <v>1.12</v>
      </c>
      <c r="J13" s="95">
        <f>I13*113</f>
        <v>126.56000000000002</v>
      </c>
      <c r="K13" s="94">
        <v>0.345824</v>
      </c>
      <c r="L13" s="21">
        <v>140000</v>
      </c>
      <c r="M13" s="94">
        <v>0.019629</v>
      </c>
      <c r="N13" s="19"/>
      <c r="O13" s="94">
        <f>K13</f>
        <v>0.345824</v>
      </c>
      <c r="P13" s="40"/>
      <c r="Q13" s="99">
        <f>K13*L13</f>
        <v>48415.36</v>
      </c>
      <c r="R13" s="100">
        <f>M13*N13</f>
        <v>0</v>
      </c>
      <c r="S13" s="100">
        <f>O13*P13</f>
        <v>0</v>
      </c>
      <c r="U13" s="62"/>
    </row>
    <row r="14" spans="1:21" ht="12.75">
      <c r="A14" s="18">
        <v>2</v>
      </c>
      <c r="B14" s="41" t="s">
        <v>11</v>
      </c>
      <c r="C14" s="18">
        <v>1992</v>
      </c>
      <c r="D14" s="18">
        <v>8</v>
      </c>
      <c r="E14" s="18">
        <v>0.1</v>
      </c>
      <c r="F14" s="29">
        <v>0.6</v>
      </c>
      <c r="G14" s="86">
        <f aca="true" t="shared" si="0" ref="G14:G24">1+F14*(0.2)</f>
        <v>1.12</v>
      </c>
      <c r="H14" s="86">
        <v>1</v>
      </c>
      <c r="I14" s="86">
        <f aca="true" t="shared" si="1" ref="I14:I26">G14*H14</f>
        <v>1.12</v>
      </c>
      <c r="J14" s="95">
        <f aca="true" t="shared" si="2" ref="J14:J24">I14*113</f>
        <v>126.56000000000002</v>
      </c>
      <c r="K14" s="94">
        <v>0.345824</v>
      </c>
      <c r="L14" s="21">
        <v>29000</v>
      </c>
      <c r="M14" s="94">
        <v>0.019629</v>
      </c>
      <c r="N14" s="19"/>
      <c r="O14" s="94">
        <f aca="true" t="shared" si="3" ref="O14:O26">K14</f>
        <v>0.345824</v>
      </c>
      <c r="P14" s="19"/>
      <c r="Q14" s="99">
        <f aca="true" t="shared" si="4" ref="Q14:Q26">K14*L14</f>
        <v>10028.896</v>
      </c>
      <c r="R14" s="100">
        <f aca="true" t="shared" si="5" ref="R14:R26">M14*N14</f>
        <v>0</v>
      </c>
      <c r="S14" s="100">
        <f aca="true" t="shared" si="6" ref="S14:S26">O14*P14</f>
        <v>0</v>
      </c>
      <c r="U14" s="62"/>
    </row>
    <row r="15" spans="1:21" ht="12.75">
      <c r="A15" s="18">
        <v>3</v>
      </c>
      <c r="B15" s="41" t="s">
        <v>11</v>
      </c>
      <c r="C15" s="18">
        <v>1992</v>
      </c>
      <c r="D15" s="18">
        <v>8</v>
      </c>
      <c r="E15" s="18">
        <v>0.1</v>
      </c>
      <c r="F15" s="29">
        <v>0.6</v>
      </c>
      <c r="G15" s="86">
        <f t="shared" si="0"/>
        <v>1.12</v>
      </c>
      <c r="H15" s="86">
        <v>1</v>
      </c>
      <c r="I15" s="86">
        <f t="shared" si="1"/>
        <v>1.12</v>
      </c>
      <c r="J15" s="95">
        <f t="shared" si="2"/>
        <v>126.56000000000002</v>
      </c>
      <c r="K15" s="94">
        <v>0.345824</v>
      </c>
      <c r="L15" s="21">
        <v>119000</v>
      </c>
      <c r="M15" s="94">
        <v>0.019629</v>
      </c>
      <c r="N15" s="19"/>
      <c r="O15" s="94">
        <f t="shared" si="3"/>
        <v>0.345824</v>
      </c>
      <c r="P15" s="19"/>
      <c r="Q15" s="99">
        <f t="shared" si="4"/>
        <v>41153.056000000004</v>
      </c>
      <c r="R15" s="100">
        <f t="shared" si="5"/>
        <v>0</v>
      </c>
      <c r="S15" s="100">
        <f t="shared" si="6"/>
        <v>0</v>
      </c>
      <c r="U15" s="62"/>
    </row>
    <row r="16" spans="1:21" ht="12.75">
      <c r="A16" s="18">
        <v>4</v>
      </c>
      <c r="B16" s="41" t="s">
        <v>11</v>
      </c>
      <c r="C16" s="18">
        <v>1992</v>
      </c>
      <c r="D16" s="18">
        <v>8</v>
      </c>
      <c r="E16" s="18">
        <v>0.1</v>
      </c>
      <c r="F16" s="29">
        <v>0.6</v>
      </c>
      <c r="G16" s="86">
        <f t="shared" si="0"/>
        <v>1.12</v>
      </c>
      <c r="H16" s="86">
        <v>1</v>
      </c>
      <c r="I16" s="86">
        <f t="shared" si="1"/>
        <v>1.12</v>
      </c>
      <c r="J16" s="95">
        <f t="shared" si="2"/>
        <v>126.56000000000002</v>
      </c>
      <c r="K16" s="94">
        <v>0.345824</v>
      </c>
      <c r="L16" s="21">
        <v>560000</v>
      </c>
      <c r="M16" s="94">
        <v>0.019629</v>
      </c>
      <c r="N16" s="19"/>
      <c r="O16" s="94">
        <f t="shared" si="3"/>
        <v>0.345824</v>
      </c>
      <c r="P16" s="19"/>
      <c r="Q16" s="99">
        <f t="shared" si="4"/>
        <v>193661.44</v>
      </c>
      <c r="R16" s="100">
        <f t="shared" si="5"/>
        <v>0</v>
      </c>
      <c r="S16" s="100">
        <f t="shared" si="6"/>
        <v>0</v>
      </c>
      <c r="U16" s="62"/>
    </row>
    <row r="17" spans="1:21" ht="12.75">
      <c r="A17" s="18">
        <v>5</v>
      </c>
      <c r="B17" s="41" t="s">
        <v>11</v>
      </c>
      <c r="C17" s="18">
        <v>1992</v>
      </c>
      <c r="D17" s="18">
        <v>8</v>
      </c>
      <c r="E17" s="18">
        <v>0.1</v>
      </c>
      <c r="F17" s="29">
        <v>0.6</v>
      </c>
      <c r="G17" s="86">
        <f t="shared" si="0"/>
        <v>1.12</v>
      </c>
      <c r="H17" s="86">
        <v>1</v>
      </c>
      <c r="I17" s="86">
        <f t="shared" si="1"/>
        <v>1.12</v>
      </c>
      <c r="J17" s="95">
        <f t="shared" si="2"/>
        <v>126.56000000000002</v>
      </c>
      <c r="K17" s="94">
        <v>0.345824</v>
      </c>
      <c r="L17" s="21">
        <v>830000</v>
      </c>
      <c r="M17" s="94">
        <v>0.019629</v>
      </c>
      <c r="N17" s="19"/>
      <c r="O17" s="94">
        <f t="shared" si="3"/>
        <v>0.345824</v>
      </c>
      <c r="P17" s="19"/>
      <c r="Q17" s="99">
        <f t="shared" si="4"/>
        <v>287033.92000000004</v>
      </c>
      <c r="R17" s="100">
        <f t="shared" si="5"/>
        <v>0</v>
      </c>
      <c r="S17" s="100">
        <f t="shared" si="6"/>
        <v>0</v>
      </c>
      <c r="U17" s="62"/>
    </row>
    <row r="18" spans="1:21" ht="12.75">
      <c r="A18" s="18">
        <v>6</v>
      </c>
      <c r="B18" s="41" t="s">
        <v>11</v>
      </c>
      <c r="C18" s="18">
        <v>1992</v>
      </c>
      <c r="D18" s="18">
        <v>8</v>
      </c>
      <c r="E18" s="18">
        <v>0.1</v>
      </c>
      <c r="F18" s="29">
        <v>0.6</v>
      </c>
      <c r="G18" s="86">
        <f t="shared" si="0"/>
        <v>1.12</v>
      </c>
      <c r="H18" s="86">
        <v>1</v>
      </c>
      <c r="I18" s="86">
        <f t="shared" si="1"/>
        <v>1.12</v>
      </c>
      <c r="J18" s="95">
        <f t="shared" si="2"/>
        <v>126.56000000000002</v>
      </c>
      <c r="K18" s="94">
        <v>0.345824</v>
      </c>
      <c r="L18" s="23">
        <v>1100000</v>
      </c>
      <c r="M18" s="94">
        <v>0.019629</v>
      </c>
      <c r="N18" s="19"/>
      <c r="O18" s="94">
        <f t="shared" si="3"/>
        <v>0.345824</v>
      </c>
      <c r="P18" s="19"/>
      <c r="Q18" s="99">
        <f t="shared" si="4"/>
        <v>380406.4</v>
      </c>
      <c r="R18" s="100">
        <f t="shared" si="5"/>
        <v>0</v>
      </c>
      <c r="S18" s="100">
        <f t="shared" si="6"/>
        <v>0</v>
      </c>
      <c r="U18" s="62"/>
    </row>
    <row r="19" spans="1:21" ht="12.75">
      <c r="A19" s="18">
        <v>7</v>
      </c>
      <c r="B19" s="41" t="s">
        <v>11</v>
      </c>
      <c r="C19" s="18">
        <v>1992</v>
      </c>
      <c r="D19" s="18">
        <v>8</v>
      </c>
      <c r="E19" s="18">
        <v>0.1</v>
      </c>
      <c r="F19" s="29">
        <v>0.6</v>
      </c>
      <c r="G19" s="86">
        <f t="shared" si="0"/>
        <v>1.12</v>
      </c>
      <c r="H19" s="86">
        <v>1</v>
      </c>
      <c r="I19" s="86">
        <f t="shared" si="1"/>
        <v>1.12</v>
      </c>
      <c r="J19" s="95">
        <f t="shared" si="2"/>
        <v>126.56000000000002</v>
      </c>
      <c r="K19" s="94">
        <v>0.345824</v>
      </c>
      <c r="L19" s="21">
        <v>101000</v>
      </c>
      <c r="M19" s="94">
        <v>0.019629</v>
      </c>
      <c r="N19" s="19"/>
      <c r="O19" s="94">
        <f t="shared" si="3"/>
        <v>0.345824</v>
      </c>
      <c r="P19" s="19"/>
      <c r="Q19" s="99">
        <f t="shared" si="4"/>
        <v>34928.224</v>
      </c>
      <c r="R19" s="100">
        <f t="shared" si="5"/>
        <v>0</v>
      </c>
      <c r="S19" s="100">
        <f t="shared" si="6"/>
        <v>0</v>
      </c>
      <c r="U19" s="62"/>
    </row>
    <row r="20" spans="1:21" ht="12.75">
      <c r="A20" s="18">
        <v>8</v>
      </c>
      <c r="B20" s="41" t="s">
        <v>11</v>
      </c>
      <c r="C20" s="18">
        <v>1992</v>
      </c>
      <c r="D20" s="18">
        <v>8</v>
      </c>
      <c r="E20" s="18">
        <v>0.1</v>
      </c>
      <c r="F20" s="29">
        <v>0.6</v>
      </c>
      <c r="G20" s="86">
        <f t="shared" si="0"/>
        <v>1.12</v>
      </c>
      <c r="H20" s="86">
        <v>1</v>
      </c>
      <c r="I20" s="86">
        <f t="shared" si="1"/>
        <v>1.12</v>
      </c>
      <c r="J20" s="95">
        <f t="shared" si="2"/>
        <v>126.56000000000002</v>
      </c>
      <c r="K20" s="94">
        <v>0.345824</v>
      </c>
      <c r="L20" s="21">
        <v>803000</v>
      </c>
      <c r="M20" s="94">
        <v>0.019629</v>
      </c>
      <c r="N20" s="19"/>
      <c r="O20" s="94">
        <f t="shared" si="3"/>
        <v>0.345824</v>
      </c>
      <c r="P20" s="19"/>
      <c r="Q20" s="99">
        <f t="shared" si="4"/>
        <v>277696.672</v>
      </c>
      <c r="R20" s="100">
        <f t="shared" si="5"/>
        <v>0</v>
      </c>
      <c r="S20" s="100">
        <f t="shared" si="6"/>
        <v>0</v>
      </c>
      <c r="U20" s="62"/>
    </row>
    <row r="21" spans="1:21" ht="12.75">
      <c r="A21" s="18">
        <v>9</v>
      </c>
      <c r="B21" s="41" t="s">
        <v>11</v>
      </c>
      <c r="C21" s="18">
        <v>1992</v>
      </c>
      <c r="D21" s="18">
        <v>8</v>
      </c>
      <c r="E21" s="18">
        <v>0.1</v>
      </c>
      <c r="F21" s="29">
        <v>0.6</v>
      </c>
      <c r="G21" s="86">
        <f t="shared" si="0"/>
        <v>1.12</v>
      </c>
      <c r="H21" s="86">
        <v>1</v>
      </c>
      <c r="I21" s="86">
        <f t="shared" si="1"/>
        <v>1.12</v>
      </c>
      <c r="J21" s="95">
        <f t="shared" si="2"/>
        <v>126.56000000000002</v>
      </c>
      <c r="K21" s="94">
        <v>0.345824</v>
      </c>
      <c r="L21" s="21">
        <v>150000</v>
      </c>
      <c r="M21" s="94">
        <v>0.019629</v>
      </c>
      <c r="N21" s="19"/>
      <c r="O21" s="94">
        <f t="shared" si="3"/>
        <v>0.345824</v>
      </c>
      <c r="P21" s="19"/>
      <c r="Q21" s="99">
        <f t="shared" si="4"/>
        <v>51873.600000000006</v>
      </c>
      <c r="R21" s="100">
        <f t="shared" si="5"/>
        <v>0</v>
      </c>
      <c r="S21" s="100">
        <f t="shared" si="6"/>
        <v>0</v>
      </c>
      <c r="U21" s="62"/>
    </row>
    <row r="22" spans="1:21" ht="12.75">
      <c r="A22" s="18">
        <v>10</v>
      </c>
      <c r="B22" s="41" t="s">
        <v>11</v>
      </c>
      <c r="C22" s="18">
        <v>1992</v>
      </c>
      <c r="D22" s="18">
        <v>8</v>
      </c>
      <c r="E22" s="18">
        <v>0.1</v>
      </c>
      <c r="F22" s="29">
        <v>0.6</v>
      </c>
      <c r="G22" s="86">
        <f t="shared" si="0"/>
        <v>1.12</v>
      </c>
      <c r="H22" s="86">
        <v>1</v>
      </c>
      <c r="I22" s="86">
        <f t="shared" si="1"/>
        <v>1.12</v>
      </c>
      <c r="J22" s="95">
        <f t="shared" si="2"/>
        <v>126.56000000000002</v>
      </c>
      <c r="K22" s="94">
        <v>0.345824</v>
      </c>
      <c r="L22" s="23">
        <v>600000</v>
      </c>
      <c r="M22" s="94">
        <v>0.019629</v>
      </c>
      <c r="N22" s="19"/>
      <c r="O22" s="94">
        <f t="shared" si="3"/>
        <v>0.345824</v>
      </c>
      <c r="P22" s="19"/>
      <c r="Q22" s="99">
        <f t="shared" si="4"/>
        <v>207494.40000000002</v>
      </c>
      <c r="R22" s="100">
        <f t="shared" si="5"/>
        <v>0</v>
      </c>
      <c r="S22" s="100">
        <f t="shared" si="6"/>
        <v>0</v>
      </c>
      <c r="U22" s="62"/>
    </row>
    <row r="23" spans="1:21" ht="12.75">
      <c r="A23" s="18">
        <v>11</v>
      </c>
      <c r="B23" s="41" t="s">
        <v>11</v>
      </c>
      <c r="C23" s="18">
        <v>1992</v>
      </c>
      <c r="D23" s="18">
        <v>8</v>
      </c>
      <c r="E23" s="18">
        <v>0.01</v>
      </c>
      <c r="F23" s="29">
        <v>0.6</v>
      </c>
      <c r="G23" s="86">
        <f t="shared" si="0"/>
        <v>1.12</v>
      </c>
      <c r="H23" s="86">
        <v>1</v>
      </c>
      <c r="I23" s="86">
        <f t="shared" si="1"/>
        <v>1.12</v>
      </c>
      <c r="J23" s="95">
        <f t="shared" si="2"/>
        <v>126.56000000000002</v>
      </c>
      <c r="K23" s="94">
        <v>0.345824</v>
      </c>
      <c r="L23" s="23">
        <v>250000</v>
      </c>
      <c r="M23" s="94">
        <v>0.019629</v>
      </c>
      <c r="N23" s="19"/>
      <c r="O23" s="94">
        <f t="shared" si="3"/>
        <v>0.345824</v>
      </c>
      <c r="P23" s="19"/>
      <c r="Q23" s="99">
        <f t="shared" si="4"/>
        <v>86456</v>
      </c>
      <c r="R23" s="100">
        <f t="shared" si="5"/>
        <v>0</v>
      </c>
      <c r="S23" s="100">
        <f t="shared" si="6"/>
        <v>0</v>
      </c>
      <c r="U23" s="62"/>
    </row>
    <row r="24" spans="1:21" ht="12.75">
      <c r="A24" s="18">
        <v>12</v>
      </c>
      <c r="B24" s="41" t="s">
        <v>11</v>
      </c>
      <c r="C24" s="18">
        <v>1992</v>
      </c>
      <c r="D24" s="18"/>
      <c r="E24" s="18">
        <v>0.01</v>
      </c>
      <c r="F24" s="29">
        <v>0.6</v>
      </c>
      <c r="G24" s="86">
        <f t="shared" si="0"/>
        <v>1.12</v>
      </c>
      <c r="H24" s="86">
        <v>1</v>
      </c>
      <c r="I24" s="86">
        <f t="shared" si="1"/>
        <v>1.12</v>
      </c>
      <c r="J24" s="95">
        <f t="shared" si="2"/>
        <v>126.56000000000002</v>
      </c>
      <c r="K24" s="94">
        <v>0.345824</v>
      </c>
      <c r="L24" s="21">
        <v>147600</v>
      </c>
      <c r="M24" s="94">
        <v>0.019629</v>
      </c>
      <c r="N24" s="19"/>
      <c r="O24" s="94">
        <f t="shared" si="3"/>
        <v>0.345824</v>
      </c>
      <c r="P24" s="19"/>
      <c r="Q24" s="99">
        <f t="shared" si="4"/>
        <v>51043.6224</v>
      </c>
      <c r="R24" s="100">
        <f t="shared" si="5"/>
        <v>0</v>
      </c>
      <c r="S24" s="100">
        <f t="shared" si="6"/>
        <v>0</v>
      </c>
      <c r="U24" s="62"/>
    </row>
    <row r="25" spans="1:21" ht="12.75">
      <c r="A25" s="18">
        <v>13</v>
      </c>
      <c r="B25" s="41" t="s">
        <v>11</v>
      </c>
      <c r="C25" s="18">
        <v>1994</v>
      </c>
      <c r="D25" s="18">
        <v>8</v>
      </c>
      <c r="E25" s="18">
        <v>0.08</v>
      </c>
      <c r="F25" s="29">
        <v>0.6</v>
      </c>
      <c r="G25" s="86">
        <f>1+F25*(0.2)</f>
        <v>1.12</v>
      </c>
      <c r="H25" s="86">
        <v>1</v>
      </c>
      <c r="I25" s="86">
        <f t="shared" si="1"/>
        <v>1.12</v>
      </c>
      <c r="J25" s="95">
        <f>I25*113</f>
        <v>126.56000000000002</v>
      </c>
      <c r="K25" s="94">
        <v>0.345824</v>
      </c>
      <c r="L25" s="21">
        <v>36868000</v>
      </c>
      <c r="M25" s="94">
        <v>0.019629</v>
      </c>
      <c r="N25" s="19"/>
      <c r="O25" s="94">
        <f t="shared" si="3"/>
        <v>0.345824</v>
      </c>
      <c r="P25" s="19"/>
      <c r="Q25" s="99">
        <f t="shared" si="4"/>
        <v>12749839.232</v>
      </c>
      <c r="R25" s="100">
        <f t="shared" si="5"/>
        <v>0</v>
      </c>
      <c r="S25" s="100">
        <f t="shared" si="6"/>
        <v>0</v>
      </c>
      <c r="U25" s="62"/>
    </row>
    <row r="26" spans="1:52" s="25" customFormat="1" ht="13.5" thickBot="1">
      <c r="A26" s="18">
        <v>14</v>
      </c>
      <c r="B26" s="41" t="s">
        <v>11</v>
      </c>
      <c r="C26" s="18" t="s">
        <v>23</v>
      </c>
      <c r="D26" s="18">
        <v>8</v>
      </c>
      <c r="E26" s="27" t="s">
        <v>24</v>
      </c>
      <c r="F26" s="29">
        <v>0.6</v>
      </c>
      <c r="G26" s="86">
        <f>1+F26*(0.2)</f>
        <v>1.12</v>
      </c>
      <c r="H26" s="86">
        <v>1</v>
      </c>
      <c r="I26" s="86">
        <f t="shared" si="1"/>
        <v>1.12</v>
      </c>
      <c r="J26" s="95">
        <f>I26*113</f>
        <v>126.56000000000002</v>
      </c>
      <c r="K26" s="94">
        <v>0.345824</v>
      </c>
      <c r="L26" s="21">
        <v>2129920</v>
      </c>
      <c r="M26" s="94">
        <v>0.019629</v>
      </c>
      <c r="N26" s="65"/>
      <c r="O26" s="94">
        <f t="shared" si="3"/>
        <v>0.345824</v>
      </c>
      <c r="P26" s="18"/>
      <c r="Q26" s="99">
        <f t="shared" si="4"/>
        <v>736577.45408</v>
      </c>
      <c r="R26" s="100">
        <f t="shared" si="5"/>
        <v>0</v>
      </c>
      <c r="S26" s="100">
        <f t="shared" si="6"/>
        <v>0</v>
      </c>
      <c r="U26" s="62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1:19" ht="13.5" thickBot="1">
      <c r="K27" s="112" t="s">
        <v>218</v>
      </c>
      <c r="L27" s="113">
        <f>SUM(L13:L26)</f>
        <v>43827520</v>
      </c>
      <c r="M27" s="24"/>
      <c r="N27" s="113">
        <f>SUM(N13:N26)</f>
        <v>0</v>
      </c>
      <c r="P27" s="113">
        <f>SUM(P13:P26)</f>
        <v>0</v>
      </c>
      <c r="Q27" s="113">
        <f>SUM(Q13:Q26)</f>
        <v>15156608.276480002</v>
      </c>
      <c r="R27" s="113">
        <f>SUM(R13:R26)</f>
        <v>0</v>
      </c>
      <c r="S27" s="113">
        <f>SUM(S13:S26)</f>
        <v>0</v>
      </c>
    </row>
    <row r="28" spans="11:14" ht="12.75">
      <c r="K28" s="24"/>
      <c r="L28" s="4"/>
      <c r="M28" s="24"/>
      <c r="N28" s="4"/>
    </row>
    <row r="29" spans="1:14" ht="12.75">
      <c r="A29" s="17" t="s">
        <v>57</v>
      </c>
      <c r="K29" s="24"/>
      <c r="L29" s="4"/>
      <c r="M29" s="24"/>
      <c r="N29" s="4"/>
    </row>
    <row r="30" spans="11:14" ht="12.75">
      <c r="K30" s="24"/>
      <c r="L30" s="4"/>
      <c r="M30" s="24"/>
      <c r="N30" s="4"/>
    </row>
    <row r="31" spans="1:52" s="25" customFormat="1" ht="12.75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85" t="s">
        <v>204</v>
      </c>
      <c r="G31" s="85" t="s">
        <v>205</v>
      </c>
      <c r="H31" s="18" t="s">
        <v>206</v>
      </c>
      <c r="I31" s="18" t="s">
        <v>207</v>
      </c>
      <c r="J31" s="18">
        <v>6</v>
      </c>
      <c r="K31" s="18">
        <v>25</v>
      </c>
      <c r="L31" s="18">
        <v>26</v>
      </c>
      <c r="M31" s="18">
        <v>28</v>
      </c>
      <c r="N31" s="18">
        <v>29</v>
      </c>
      <c r="O31" s="18">
        <v>30</v>
      </c>
      <c r="P31" s="18">
        <v>31</v>
      </c>
      <c r="Q31" s="18">
        <v>32</v>
      </c>
      <c r="R31" s="41">
        <v>33</v>
      </c>
      <c r="S31" s="28">
        <v>34</v>
      </c>
      <c r="U31" s="62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21" ht="12">
      <c r="A32" s="2" t="s">
        <v>190</v>
      </c>
      <c r="B32" s="36" t="s">
        <v>13</v>
      </c>
      <c r="C32" s="33" t="s">
        <v>14</v>
      </c>
      <c r="D32" s="36" t="s">
        <v>176</v>
      </c>
      <c r="E32" s="33" t="s">
        <v>15</v>
      </c>
      <c r="F32" s="36" t="s">
        <v>208</v>
      </c>
      <c r="G32" s="36"/>
      <c r="H32" s="32"/>
      <c r="I32" s="36"/>
      <c r="J32" s="36" t="s">
        <v>191</v>
      </c>
      <c r="K32" s="36" t="s">
        <v>192</v>
      </c>
      <c r="L32" s="36" t="s">
        <v>16</v>
      </c>
      <c r="M32" s="36" t="s">
        <v>193</v>
      </c>
      <c r="N32" s="33" t="s">
        <v>17</v>
      </c>
      <c r="O32" s="36" t="s">
        <v>194</v>
      </c>
      <c r="P32" s="36" t="s">
        <v>195</v>
      </c>
      <c r="Q32" s="33" t="s">
        <v>196</v>
      </c>
      <c r="R32" s="2" t="s">
        <v>193</v>
      </c>
      <c r="S32" s="36" t="s">
        <v>197</v>
      </c>
      <c r="U32" s="32"/>
    </row>
    <row r="33" spans="1:21" ht="12">
      <c r="A33" s="61"/>
      <c r="B33" s="37"/>
      <c r="C33" s="32" t="s">
        <v>18</v>
      </c>
      <c r="D33" s="37" t="s">
        <v>198</v>
      </c>
      <c r="E33" s="32" t="s">
        <v>19</v>
      </c>
      <c r="F33" s="37"/>
      <c r="G33" s="37"/>
      <c r="H33" s="32"/>
      <c r="I33" s="37"/>
      <c r="J33" s="37" t="s">
        <v>199</v>
      </c>
      <c r="K33" s="37" t="s">
        <v>200</v>
      </c>
      <c r="L33" s="37" t="s">
        <v>20</v>
      </c>
      <c r="M33" s="37" t="s">
        <v>200</v>
      </c>
      <c r="N33" s="32" t="s">
        <v>20</v>
      </c>
      <c r="O33" s="37" t="s">
        <v>200</v>
      </c>
      <c r="P33" s="37" t="s">
        <v>20</v>
      </c>
      <c r="Q33" s="32" t="s">
        <v>200</v>
      </c>
      <c r="R33" s="6" t="s">
        <v>200</v>
      </c>
      <c r="S33" s="37" t="s">
        <v>200</v>
      </c>
      <c r="U33" s="32"/>
    </row>
    <row r="34" spans="1:21" ht="12.75">
      <c r="A34" s="63"/>
      <c r="B34" s="29"/>
      <c r="C34" s="64"/>
      <c r="D34" s="29"/>
      <c r="E34" s="64"/>
      <c r="F34" s="29"/>
      <c r="G34" s="64"/>
      <c r="H34" s="10"/>
      <c r="I34" s="29"/>
      <c r="J34" s="38" t="s">
        <v>201</v>
      </c>
      <c r="K34" s="38" t="s">
        <v>202</v>
      </c>
      <c r="L34" s="29"/>
      <c r="M34" s="38" t="s">
        <v>202</v>
      </c>
      <c r="N34" s="64"/>
      <c r="O34" s="38" t="s">
        <v>202</v>
      </c>
      <c r="P34" s="29"/>
      <c r="Q34" s="64" t="s">
        <v>203</v>
      </c>
      <c r="R34" s="10" t="s">
        <v>203</v>
      </c>
      <c r="S34" s="29" t="s">
        <v>203</v>
      </c>
      <c r="U34" s="62"/>
    </row>
    <row r="35" spans="1:21" ht="12.75">
      <c r="A35" s="19" t="s">
        <v>25</v>
      </c>
      <c r="B35" s="41" t="s">
        <v>11</v>
      </c>
      <c r="C35" s="18">
        <v>1996</v>
      </c>
      <c r="D35" s="18">
        <v>8</v>
      </c>
      <c r="E35" s="27" t="s">
        <v>26</v>
      </c>
      <c r="F35" s="29">
        <v>0.6</v>
      </c>
      <c r="G35" s="86">
        <f aca="true" t="shared" si="7" ref="G35:G61">1+F35*(0.2)</f>
        <v>1.12</v>
      </c>
      <c r="H35" s="86">
        <v>1</v>
      </c>
      <c r="I35" s="86">
        <f aca="true" t="shared" si="8" ref="I35:I61">G35*H35</f>
        <v>1.12</v>
      </c>
      <c r="J35" s="95">
        <f aca="true" t="shared" si="9" ref="J35:J61">I35*113</f>
        <v>126.56000000000002</v>
      </c>
      <c r="K35" s="94">
        <v>0.278715</v>
      </c>
      <c r="L35" s="39">
        <v>17250000</v>
      </c>
      <c r="M35" s="94">
        <v>0.049619</v>
      </c>
      <c r="N35" s="39">
        <v>3000000</v>
      </c>
      <c r="O35" s="94">
        <f aca="true" t="shared" si="10" ref="O35:O61">K35</f>
        <v>0.278715</v>
      </c>
      <c r="P35" s="79"/>
      <c r="Q35" s="99">
        <f aca="true" t="shared" si="11" ref="Q35:Q61">K35*L35</f>
        <v>4807833.75</v>
      </c>
      <c r="R35" s="100">
        <f aca="true" t="shared" si="12" ref="R35:R61">M35*N35</f>
        <v>148857</v>
      </c>
      <c r="S35" s="100">
        <f aca="true" t="shared" si="13" ref="S35:S61">O35*P35</f>
        <v>0</v>
      </c>
      <c r="U35" s="62"/>
    </row>
    <row r="36" spans="1:21" ht="12.75">
      <c r="A36" s="19" t="s">
        <v>27</v>
      </c>
      <c r="B36" s="41" t="s">
        <v>11</v>
      </c>
      <c r="C36" s="18">
        <v>1988</v>
      </c>
      <c r="D36" s="18">
        <v>7</v>
      </c>
      <c r="E36" s="27" t="s">
        <v>24</v>
      </c>
      <c r="F36" s="29">
        <v>0.6</v>
      </c>
      <c r="G36" s="86">
        <f t="shared" si="7"/>
        <v>1.12</v>
      </c>
      <c r="H36" s="86">
        <v>1</v>
      </c>
      <c r="I36" s="86">
        <f t="shared" si="8"/>
        <v>1.12</v>
      </c>
      <c r="J36" s="95">
        <f t="shared" si="9"/>
        <v>126.56000000000002</v>
      </c>
      <c r="K36" s="94">
        <v>0.278715</v>
      </c>
      <c r="L36" s="39">
        <v>10584000</v>
      </c>
      <c r="M36" s="94">
        <v>0.049619</v>
      </c>
      <c r="N36" s="39">
        <v>2000000</v>
      </c>
      <c r="O36" s="94">
        <f t="shared" si="10"/>
        <v>0.278715</v>
      </c>
      <c r="P36" s="79"/>
      <c r="Q36" s="99">
        <f t="shared" si="11"/>
        <v>2949919.56</v>
      </c>
      <c r="R36" s="100">
        <f t="shared" si="12"/>
        <v>99238</v>
      </c>
      <c r="S36" s="100">
        <f t="shared" si="13"/>
        <v>0</v>
      </c>
      <c r="U36" s="62"/>
    </row>
    <row r="37" spans="1:21" ht="12.75">
      <c r="A37" s="19" t="s">
        <v>28</v>
      </c>
      <c r="B37" s="41" t="s">
        <v>11</v>
      </c>
      <c r="C37" s="18">
        <v>1988</v>
      </c>
      <c r="D37" s="18">
        <v>7</v>
      </c>
      <c r="E37" s="27" t="s">
        <v>24</v>
      </c>
      <c r="F37" s="29">
        <v>0.6</v>
      </c>
      <c r="G37" s="86">
        <f t="shared" si="7"/>
        <v>1.12</v>
      </c>
      <c r="H37" s="86">
        <v>1</v>
      </c>
      <c r="I37" s="86">
        <f t="shared" si="8"/>
        <v>1.12</v>
      </c>
      <c r="J37" s="95">
        <f t="shared" si="9"/>
        <v>126.56000000000002</v>
      </c>
      <c r="K37" s="94">
        <v>0.278715</v>
      </c>
      <c r="L37" s="39">
        <v>9216000</v>
      </c>
      <c r="M37" s="94">
        <v>0.049619</v>
      </c>
      <c r="N37" s="39">
        <v>2000000</v>
      </c>
      <c r="O37" s="94">
        <f t="shared" si="10"/>
        <v>0.278715</v>
      </c>
      <c r="P37" s="79"/>
      <c r="Q37" s="99">
        <f t="shared" si="11"/>
        <v>2568637.44</v>
      </c>
      <c r="R37" s="100">
        <f t="shared" si="12"/>
        <v>99238</v>
      </c>
      <c r="S37" s="100">
        <f t="shared" si="13"/>
        <v>0</v>
      </c>
      <c r="U37" s="62"/>
    </row>
    <row r="38" spans="1:21" ht="12.75">
      <c r="A38" s="19" t="s">
        <v>29</v>
      </c>
      <c r="B38" s="41" t="s">
        <v>11</v>
      </c>
      <c r="C38" s="18">
        <v>1988</v>
      </c>
      <c r="D38" s="18">
        <v>7</v>
      </c>
      <c r="E38" s="27" t="s">
        <v>24</v>
      </c>
      <c r="F38" s="29">
        <v>0.6</v>
      </c>
      <c r="G38" s="86">
        <f t="shared" si="7"/>
        <v>1.12</v>
      </c>
      <c r="H38" s="86">
        <v>1</v>
      </c>
      <c r="I38" s="86">
        <f t="shared" si="8"/>
        <v>1.12</v>
      </c>
      <c r="J38" s="95">
        <f t="shared" si="9"/>
        <v>126.56000000000002</v>
      </c>
      <c r="K38" s="94">
        <v>0.278715</v>
      </c>
      <c r="L38" s="39">
        <v>9072000</v>
      </c>
      <c r="M38" s="94">
        <v>0.049619</v>
      </c>
      <c r="N38" s="39">
        <v>2000000</v>
      </c>
      <c r="O38" s="94">
        <f t="shared" si="10"/>
        <v>0.278715</v>
      </c>
      <c r="P38" s="79"/>
      <c r="Q38" s="99">
        <f t="shared" si="11"/>
        <v>2528502.48</v>
      </c>
      <c r="R38" s="100">
        <f t="shared" si="12"/>
        <v>99238</v>
      </c>
      <c r="S38" s="100">
        <f t="shared" si="13"/>
        <v>0</v>
      </c>
      <c r="U38" s="62"/>
    </row>
    <row r="39" spans="1:21" ht="12.75">
      <c r="A39" s="19" t="s">
        <v>30</v>
      </c>
      <c r="B39" s="41" t="s">
        <v>11</v>
      </c>
      <c r="C39" s="18">
        <v>1980</v>
      </c>
      <c r="D39" s="18">
        <v>7</v>
      </c>
      <c r="E39" s="27" t="s">
        <v>24</v>
      </c>
      <c r="F39" s="29">
        <v>0.6</v>
      </c>
      <c r="G39" s="86">
        <f t="shared" si="7"/>
        <v>1.12</v>
      </c>
      <c r="H39" s="86">
        <v>1</v>
      </c>
      <c r="I39" s="86">
        <f t="shared" si="8"/>
        <v>1.12</v>
      </c>
      <c r="J39" s="95">
        <f t="shared" si="9"/>
        <v>126.56000000000002</v>
      </c>
      <c r="K39" s="94">
        <v>0.345824</v>
      </c>
      <c r="L39" s="39">
        <v>2957760</v>
      </c>
      <c r="M39" s="94">
        <v>0.189275</v>
      </c>
      <c r="N39" s="39">
        <v>500000</v>
      </c>
      <c r="O39" s="94">
        <f t="shared" si="10"/>
        <v>0.345824</v>
      </c>
      <c r="P39" s="79"/>
      <c r="Q39" s="99">
        <f t="shared" si="11"/>
        <v>1022864.39424</v>
      </c>
      <c r="R39" s="100">
        <f t="shared" si="12"/>
        <v>94637.5</v>
      </c>
      <c r="S39" s="100">
        <f t="shared" si="13"/>
        <v>0</v>
      </c>
      <c r="U39" s="62"/>
    </row>
    <row r="40" spans="1:21" ht="12.75">
      <c r="A40" s="19" t="s">
        <v>31</v>
      </c>
      <c r="B40" s="41" t="s">
        <v>11</v>
      </c>
      <c r="C40" s="18">
        <v>1980</v>
      </c>
      <c r="D40" s="18">
        <v>7</v>
      </c>
      <c r="E40" s="27" t="s">
        <v>24</v>
      </c>
      <c r="F40" s="29">
        <v>0.6</v>
      </c>
      <c r="G40" s="86">
        <f t="shared" si="7"/>
        <v>1.12</v>
      </c>
      <c r="H40" s="86">
        <v>1</v>
      </c>
      <c r="I40" s="86">
        <f t="shared" si="8"/>
        <v>1.12</v>
      </c>
      <c r="J40" s="95">
        <f t="shared" si="9"/>
        <v>126.56000000000002</v>
      </c>
      <c r="K40" s="94">
        <v>0.345824</v>
      </c>
      <c r="L40" s="39">
        <v>2710980</v>
      </c>
      <c r="M40" s="94">
        <v>0.189275</v>
      </c>
      <c r="N40" s="39"/>
      <c r="O40" s="94">
        <f t="shared" si="10"/>
        <v>0.345824</v>
      </c>
      <c r="P40" s="79"/>
      <c r="Q40" s="99">
        <f t="shared" si="11"/>
        <v>937521.94752</v>
      </c>
      <c r="R40" s="100">
        <f t="shared" si="12"/>
        <v>0</v>
      </c>
      <c r="S40" s="100">
        <f t="shared" si="13"/>
        <v>0</v>
      </c>
      <c r="U40" s="62"/>
    </row>
    <row r="41" spans="1:21" ht="12.75">
      <c r="A41" s="19" t="s">
        <v>32</v>
      </c>
      <c r="B41" s="41" t="s">
        <v>11</v>
      </c>
      <c r="C41" s="18">
        <v>1980</v>
      </c>
      <c r="D41" s="18">
        <v>7</v>
      </c>
      <c r="E41" s="27" t="s">
        <v>24</v>
      </c>
      <c r="F41" s="29">
        <v>0.6</v>
      </c>
      <c r="G41" s="86">
        <f t="shared" si="7"/>
        <v>1.12</v>
      </c>
      <c r="H41" s="86">
        <v>1</v>
      </c>
      <c r="I41" s="86">
        <f t="shared" si="8"/>
        <v>1.12</v>
      </c>
      <c r="J41" s="95">
        <f t="shared" si="9"/>
        <v>126.56000000000002</v>
      </c>
      <c r="K41" s="94">
        <v>0.345824</v>
      </c>
      <c r="L41" s="39">
        <v>876180</v>
      </c>
      <c r="M41" s="94">
        <v>0.189275</v>
      </c>
      <c r="N41" s="39"/>
      <c r="O41" s="94">
        <f t="shared" si="10"/>
        <v>0.345824</v>
      </c>
      <c r="P41" s="79"/>
      <c r="Q41" s="99">
        <f t="shared" si="11"/>
        <v>303004.07232000004</v>
      </c>
      <c r="R41" s="100">
        <f t="shared" si="12"/>
        <v>0</v>
      </c>
      <c r="S41" s="100">
        <f t="shared" si="13"/>
        <v>0</v>
      </c>
      <c r="U41" s="62"/>
    </row>
    <row r="42" spans="1:21" ht="12.75">
      <c r="A42" s="19" t="s">
        <v>33</v>
      </c>
      <c r="B42" s="41" t="s">
        <v>11</v>
      </c>
      <c r="C42" s="18">
        <v>1980</v>
      </c>
      <c r="D42" s="18">
        <v>7</v>
      </c>
      <c r="E42" s="27" t="s">
        <v>24</v>
      </c>
      <c r="F42" s="29">
        <v>0.6</v>
      </c>
      <c r="G42" s="86">
        <f t="shared" si="7"/>
        <v>1.12</v>
      </c>
      <c r="H42" s="86">
        <v>1</v>
      </c>
      <c r="I42" s="86">
        <f t="shared" si="8"/>
        <v>1.12</v>
      </c>
      <c r="J42" s="95">
        <f t="shared" si="9"/>
        <v>126.56000000000002</v>
      </c>
      <c r="K42" s="94">
        <v>0.345824</v>
      </c>
      <c r="L42" s="39">
        <v>629340</v>
      </c>
      <c r="M42" s="94">
        <v>0.189275</v>
      </c>
      <c r="N42" s="39"/>
      <c r="O42" s="94">
        <f t="shared" si="10"/>
        <v>0.345824</v>
      </c>
      <c r="P42" s="79"/>
      <c r="Q42" s="99">
        <f t="shared" si="11"/>
        <v>217640.87616</v>
      </c>
      <c r="R42" s="100">
        <f t="shared" si="12"/>
        <v>0</v>
      </c>
      <c r="S42" s="100">
        <f t="shared" si="13"/>
        <v>0</v>
      </c>
      <c r="U42" s="62"/>
    </row>
    <row r="43" spans="1:21" ht="12.75">
      <c r="A43" s="19" t="s">
        <v>34</v>
      </c>
      <c r="B43" s="41" t="s">
        <v>11</v>
      </c>
      <c r="C43" s="18">
        <v>1991</v>
      </c>
      <c r="D43" s="18">
        <v>7</v>
      </c>
      <c r="E43" s="27" t="s">
        <v>24</v>
      </c>
      <c r="F43" s="29">
        <v>0.6</v>
      </c>
      <c r="G43" s="86">
        <f t="shared" si="7"/>
        <v>1.12</v>
      </c>
      <c r="H43" s="86">
        <v>1</v>
      </c>
      <c r="I43" s="86">
        <f t="shared" si="8"/>
        <v>1.12</v>
      </c>
      <c r="J43" s="95">
        <f t="shared" si="9"/>
        <v>126.56000000000002</v>
      </c>
      <c r="K43" s="94">
        <v>0.345824</v>
      </c>
      <c r="L43" s="39"/>
      <c r="M43" s="94">
        <v>0.189275</v>
      </c>
      <c r="N43" s="39"/>
      <c r="O43" s="94">
        <f t="shared" si="10"/>
        <v>0.345824</v>
      </c>
      <c r="P43" s="79"/>
      <c r="Q43" s="99">
        <f t="shared" si="11"/>
        <v>0</v>
      </c>
      <c r="R43" s="100">
        <f t="shared" si="12"/>
        <v>0</v>
      </c>
      <c r="S43" s="100">
        <f t="shared" si="13"/>
        <v>0</v>
      </c>
      <c r="U43" s="62"/>
    </row>
    <row r="44" spans="1:21" ht="12.75">
      <c r="A44" s="19" t="s">
        <v>21</v>
      </c>
      <c r="B44" s="41" t="s">
        <v>11</v>
      </c>
      <c r="C44" s="18">
        <v>1990</v>
      </c>
      <c r="D44" s="18">
        <v>10</v>
      </c>
      <c r="E44" s="27" t="s">
        <v>24</v>
      </c>
      <c r="F44" s="29">
        <v>0.6</v>
      </c>
      <c r="G44" s="86">
        <f t="shared" si="7"/>
        <v>1.12</v>
      </c>
      <c r="H44" s="86">
        <v>1</v>
      </c>
      <c r="I44" s="86">
        <f t="shared" si="8"/>
        <v>1.12</v>
      </c>
      <c r="J44" s="95">
        <f t="shared" si="9"/>
        <v>126.56000000000002</v>
      </c>
      <c r="K44" s="94">
        <v>0.345824</v>
      </c>
      <c r="L44" s="39"/>
      <c r="M44" s="94">
        <v>0.189275</v>
      </c>
      <c r="N44" s="39"/>
      <c r="O44" s="94">
        <f t="shared" si="10"/>
        <v>0.345824</v>
      </c>
      <c r="P44" s="79"/>
      <c r="Q44" s="99">
        <f t="shared" si="11"/>
        <v>0</v>
      </c>
      <c r="R44" s="100">
        <f t="shared" si="12"/>
        <v>0</v>
      </c>
      <c r="S44" s="100">
        <f t="shared" si="13"/>
        <v>0</v>
      </c>
      <c r="U44" s="62"/>
    </row>
    <row r="45" spans="1:21" ht="12.75">
      <c r="A45" s="19" t="s">
        <v>21</v>
      </c>
      <c r="B45" s="41" t="s">
        <v>11</v>
      </c>
      <c r="C45" s="18"/>
      <c r="D45" s="18">
        <v>10</v>
      </c>
      <c r="E45" s="27" t="s">
        <v>24</v>
      </c>
      <c r="F45" s="29">
        <v>0.6</v>
      </c>
      <c r="G45" s="86">
        <f t="shared" si="7"/>
        <v>1.12</v>
      </c>
      <c r="H45" s="86">
        <v>1</v>
      </c>
      <c r="I45" s="86">
        <f t="shared" si="8"/>
        <v>1.12</v>
      </c>
      <c r="J45" s="95">
        <f t="shared" si="9"/>
        <v>126.56000000000002</v>
      </c>
      <c r="K45" s="94">
        <v>0.345824</v>
      </c>
      <c r="L45" s="39">
        <v>2129920</v>
      </c>
      <c r="M45" s="94">
        <v>0.189275</v>
      </c>
      <c r="N45" s="39"/>
      <c r="O45" s="94">
        <f t="shared" si="10"/>
        <v>0.345824</v>
      </c>
      <c r="P45" s="79"/>
      <c r="Q45" s="99">
        <f t="shared" si="11"/>
        <v>736577.45408</v>
      </c>
      <c r="R45" s="100">
        <f t="shared" si="12"/>
        <v>0</v>
      </c>
      <c r="S45" s="100">
        <f t="shared" si="13"/>
        <v>0</v>
      </c>
      <c r="U45" s="62"/>
    </row>
    <row r="46" spans="1:21" ht="12.75">
      <c r="A46" s="19" t="s">
        <v>35</v>
      </c>
      <c r="B46" s="41" t="s">
        <v>11</v>
      </c>
      <c r="C46" s="18">
        <v>1994</v>
      </c>
      <c r="D46" s="18">
        <v>7</v>
      </c>
      <c r="E46" s="27" t="s">
        <v>24</v>
      </c>
      <c r="F46" s="29">
        <v>0.6</v>
      </c>
      <c r="G46" s="86">
        <f t="shared" si="7"/>
        <v>1.12</v>
      </c>
      <c r="H46" s="86">
        <v>1</v>
      </c>
      <c r="I46" s="86">
        <f t="shared" si="8"/>
        <v>1.12</v>
      </c>
      <c r="J46" s="95">
        <f t="shared" si="9"/>
        <v>126.56000000000002</v>
      </c>
      <c r="K46" s="94">
        <v>0.345824</v>
      </c>
      <c r="L46" s="39">
        <v>2500000</v>
      </c>
      <c r="M46" s="94">
        <v>0.189275</v>
      </c>
      <c r="N46" s="39"/>
      <c r="O46" s="94">
        <f t="shared" si="10"/>
        <v>0.345824</v>
      </c>
      <c r="P46" s="79"/>
      <c r="Q46" s="99">
        <f t="shared" si="11"/>
        <v>864560</v>
      </c>
      <c r="R46" s="100">
        <f t="shared" si="12"/>
        <v>0</v>
      </c>
      <c r="S46" s="100">
        <f t="shared" si="13"/>
        <v>0</v>
      </c>
      <c r="U46" s="62"/>
    </row>
    <row r="47" spans="1:21" ht="12.75">
      <c r="A47" s="19" t="s">
        <v>36</v>
      </c>
      <c r="B47" s="41" t="s">
        <v>11</v>
      </c>
      <c r="C47" s="18">
        <v>1951</v>
      </c>
      <c r="D47" s="18">
        <v>7</v>
      </c>
      <c r="E47" s="27" t="s">
        <v>37</v>
      </c>
      <c r="F47" s="29">
        <v>0.6</v>
      </c>
      <c r="G47" s="86">
        <f t="shared" si="7"/>
        <v>1.12</v>
      </c>
      <c r="H47" s="86">
        <v>1</v>
      </c>
      <c r="I47" s="86">
        <f t="shared" si="8"/>
        <v>1.12</v>
      </c>
      <c r="J47" s="95">
        <f t="shared" si="9"/>
        <v>126.56000000000002</v>
      </c>
      <c r="K47" s="94">
        <v>0.345824</v>
      </c>
      <c r="L47" s="39">
        <v>1039680</v>
      </c>
      <c r="M47" s="94">
        <v>0.189275</v>
      </c>
      <c r="N47" s="39"/>
      <c r="O47" s="94">
        <f t="shared" si="10"/>
        <v>0.345824</v>
      </c>
      <c r="P47" s="79">
        <v>2000000</v>
      </c>
      <c r="Q47" s="99">
        <f t="shared" si="11"/>
        <v>359546.29632</v>
      </c>
      <c r="R47" s="100">
        <f t="shared" si="12"/>
        <v>0</v>
      </c>
      <c r="S47" s="100">
        <f t="shared" si="13"/>
        <v>691648</v>
      </c>
      <c r="U47" s="62"/>
    </row>
    <row r="48" spans="1:21" ht="12.75">
      <c r="A48" s="19" t="s">
        <v>38</v>
      </c>
      <c r="B48" s="41" t="s">
        <v>11</v>
      </c>
      <c r="C48" s="18">
        <v>1951</v>
      </c>
      <c r="D48" s="18">
        <v>8</v>
      </c>
      <c r="E48" s="27" t="s">
        <v>39</v>
      </c>
      <c r="F48" s="29">
        <v>0.6</v>
      </c>
      <c r="G48" s="86">
        <f t="shared" si="7"/>
        <v>1.12</v>
      </c>
      <c r="H48" s="86">
        <v>1</v>
      </c>
      <c r="I48" s="86">
        <f t="shared" si="8"/>
        <v>1.12</v>
      </c>
      <c r="J48" s="95">
        <f t="shared" si="9"/>
        <v>126.56000000000002</v>
      </c>
      <c r="K48" s="94">
        <v>0.345824</v>
      </c>
      <c r="L48" s="39">
        <v>3364140</v>
      </c>
      <c r="M48" s="94">
        <v>0.189275</v>
      </c>
      <c r="N48" s="39"/>
      <c r="O48" s="94">
        <f t="shared" si="10"/>
        <v>0.345824</v>
      </c>
      <c r="P48" s="79"/>
      <c r="Q48" s="99">
        <f t="shared" si="11"/>
        <v>1163400.35136</v>
      </c>
      <c r="R48" s="100">
        <f t="shared" si="12"/>
        <v>0</v>
      </c>
      <c r="S48" s="100">
        <f t="shared" si="13"/>
        <v>0</v>
      </c>
      <c r="U48" s="62"/>
    </row>
    <row r="49" spans="1:21" ht="12.75">
      <c r="A49" s="19" t="s">
        <v>40</v>
      </c>
      <c r="B49" s="41" t="s">
        <v>11</v>
      </c>
      <c r="C49" s="18">
        <v>1951</v>
      </c>
      <c r="D49" s="18"/>
      <c r="E49" s="27" t="s">
        <v>41</v>
      </c>
      <c r="F49" s="29">
        <v>0.6</v>
      </c>
      <c r="G49" s="86">
        <f t="shared" si="7"/>
        <v>1.12</v>
      </c>
      <c r="H49" s="86">
        <v>1</v>
      </c>
      <c r="I49" s="86">
        <f t="shared" si="8"/>
        <v>1.12</v>
      </c>
      <c r="J49" s="95">
        <f t="shared" si="9"/>
        <v>126.56000000000002</v>
      </c>
      <c r="K49" s="94">
        <v>0.345824</v>
      </c>
      <c r="L49" s="39">
        <v>2042100</v>
      </c>
      <c r="M49" s="94">
        <v>0.189275</v>
      </c>
      <c r="N49" s="39"/>
      <c r="O49" s="94">
        <f t="shared" si="10"/>
        <v>0.345824</v>
      </c>
      <c r="P49" s="79"/>
      <c r="Q49" s="99">
        <f t="shared" si="11"/>
        <v>706207.1904000001</v>
      </c>
      <c r="R49" s="100">
        <f t="shared" si="12"/>
        <v>0</v>
      </c>
      <c r="S49" s="100">
        <f t="shared" si="13"/>
        <v>0</v>
      </c>
      <c r="U49" s="62"/>
    </row>
    <row r="50" spans="1:21" ht="12.75">
      <c r="A50" s="19" t="s">
        <v>42</v>
      </c>
      <c r="B50" s="41" t="s">
        <v>11</v>
      </c>
      <c r="C50" s="18">
        <v>1951</v>
      </c>
      <c r="D50" s="18">
        <v>10</v>
      </c>
      <c r="E50" s="27" t="s">
        <v>41</v>
      </c>
      <c r="F50" s="29">
        <v>0.6</v>
      </c>
      <c r="G50" s="86">
        <f t="shared" si="7"/>
        <v>1.12</v>
      </c>
      <c r="H50" s="86">
        <v>1</v>
      </c>
      <c r="I50" s="86">
        <f t="shared" si="8"/>
        <v>1.12</v>
      </c>
      <c r="J50" s="95">
        <f t="shared" si="9"/>
        <v>126.56000000000002</v>
      </c>
      <c r="K50" s="94">
        <v>0.345824</v>
      </c>
      <c r="L50" s="39">
        <v>3633770</v>
      </c>
      <c r="M50" s="94">
        <v>0.189275</v>
      </c>
      <c r="N50" s="39">
        <v>5000000</v>
      </c>
      <c r="O50" s="94">
        <f t="shared" si="10"/>
        <v>0.345824</v>
      </c>
      <c r="P50" s="79"/>
      <c r="Q50" s="99">
        <f t="shared" si="11"/>
        <v>1256644.87648</v>
      </c>
      <c r="R50" s="100">
        <f t="shared" si="12"/>
        <v>946375</v>
      </c>
      <c r="S50" s="100">
        <f t="shared" si="13"/>
        <v>0</v>
      </c>
      <c r="U50" s="62"/>
    </row>
    <row r="51" spans="1:21" ht="12.75">
      <c r="A51" s="19" t="s">
        <v>43</v>
      </c>
      <c r="B51" s="41" t="s">
        <v>11</v>
      </c>
      <c r="C51" s="18" t="s">
        <v>44</v>
      </c>
      <c r="D51" s="18">
        <v>7</v>
      </c>
      <c r="E51" s="27" t="s">
        <v>45</v>
      </c>
      <c r="F51" s="29">
        <v>0.6</v>
      </c>
      <c r="G51" s="86">
        <f t="shared" si="7"/>
        <v>1.12</v>
      </c>
      <c r="H51" s="86">
        <v>1</v>
      </c>
      <c r="I51" s="86">
        <f t="shared" si="8"/>
        <v>1.12</v>
      </c>
      <c r="J51" s="95">
        <f t="shared" si="9"/>
        <v>126.56000000000002</v>
      </c>
      <c r="K51" s="94">
        <v>0.345824</v>
      </c>
      <c r="L51" s="39">
        <v>2770200</v>
      </c>
      <c r="M51" s="94">
        <v>0.189275</v>
      </c>
      <c r="N51" s="39"/>
      <c r="O51" s="94">
        <f t="shared" si="10"/>
        <v>0.345824</v>
      </c>
      <c r="P51" s="79"/>
      <c r="Q51" s="99">
        <f t="shared" si="11"/>
        <v>958001.6448</v>
      </c>
      <c r="R51" s="100">
        <f t="shared" si="12"/>
        <v>0</v>
      </c>
      <c r="S51" s="100">
        <f t="shared" si="13"/>
        <v>0</v>
      </c>
      <c r="U51" s="62"/>
    </row>
    <row r="52" spans="1:21" ht="12.75">
      <c r="A52" s="19" t="s">
        <v>46</v>
      </c>
      <c r="B52" s="41" t="s">
        <v>11</v>
      </c>
      <c r="C52" s="18">
        <v>1951</v>
      </c>
      <c r="D52" s="18">
        <v>5</v>
      </c>
      <c r="E52" s="27" t="s">
        <v>37</v>
      </c>
      <c r="F52" s="29">
        <v>0.6</v>
      </c>
      <c r="G52" s="86">
        <f t="shared" si="7"/>
        <v>1.12</v>
      </c>
      <c r="H52" s="86">
        <v>1</v>
      </c>
      <c r="I52" s="86">
        <f t="shared" si="8"/>
        <v>1.12</v>
      </c>
      <c r="J52" s="95">
        <f t="shared" si="9"/>
        <v>126.56000000000002</v>
      </c>
      <c r="K52" s="94">
        <v>0.345824</v>
      </c>
      <c r="L52" s="39">
        <v>4354900</v>
      </c>
      <c r="M52" s="94">
        <v>0.189275</v>
      </c>
      <c r="N52" s="39">
        <v>2500000</v>
      </c>
      <c r="O52" s="94">
        <f t="shared" si="10"/>
        <v>0.345824</v>
      </c>
      <c r="P52" s="79"/>
      <c r="Q52" s="99">
        <f t="shared" si="11"/>
        <v>1506028.9376</v>
      </c>
      <c r="R52" s="100">
        <f t="shared" si="12"/>
        <v>473187.5</v>
      </c>
      <c r="S52" s="100">
        <f t="shared" si="13"/>
        <v>0</v>
      </c>
      <c r="U52" s="62"/>
    </row>
    <row r="53" spans="1:21" ht="12.75">
      <c r="A53" s="19" t="s">
        <v>47</v>
      </c>
      <c r="B53" s="41" t="s">
        <v>11</v>
      </c>
      <c r="C53" s="18">
        <v>1998</v>
      </c>
      <c r="D53" s="18">
        <v>5</v>
      </c>
      <c r="E53" s="27" t="s">
        <v>26</v>
      </c>
      <c r="F53" s="29">
        <v>0.6</v>
      </c>
      <c r="G53" s="86">
        <f t="shared" si="7"/>
        <v>1.12</v>
      </c>
      <c r="H53" s="86">
        <v>1</v>
      </c>
      <c r="I53" s="86">
        <f t="shared" si="8"/>
        <v>1.12</v>
      </c>
      <c r="J53" s="95">
        <f t="shared" si="9"/>
        <v>126.56000000000002</v>
      </c>
      <c r="K53" s="94">
        <v>0.278715</v>
      </c>
      <c r="L53" s="39">
        <v>30000000</v>
      </c>
      <c r="M53" s="94">
        <v>0.049619</v>
      </c>
      <c r="N53" s="39">
        <v>150000</v>
      </c>
      <c r="O53" s="94">
        <f t="shared" si="10"/>
        <v>0.278715</v>
      </c>
      <c r="P53" s="79">
        <v>500000</v>
      </c>
      <c r="Q53" s="99">
        <f t="shared" si="11"/>
        <v>8361450</v>
      </c>
      <c r="R53" s="100">
        <f t="shared" si="12"/>
        <v>7442.85</v>
      </c>
      <c r="S53" s="100">
        <f t="shared" si="13"/>
        <v>139357.5</v>
      </c>
      <c r="U53" s="62"/>
    </row>
    <row r="54" spans="1:21" ht="12.75">
      <c r="A54" s="19" t="s">
        <v>48</v>
      </c>
      <c r="B54" s="41" t="s">
        <v>11</v>
      </c>
      <c r="C54" s="18">
        <v>1991</v>
      </c>
      <c r="D54" s="18">
        <v>7</v>
      </c>
      <c r="E54" s="27" t="s">
        <v>39</v>
      </c>
      <c r="F54" s="29">
        <v>0.6</v>
      </c>
      <c r="G54" s="86">
        <f t="shared" si="7"/>
        <v>1.12</v>
      </c>
      <c r="H54" s="86">
        <v>1</v>
      </c>
      <c r="I54" s="86">
        <f t="shared" si="8"/>
        <v>1.12</v>
      </c>
      <c r="J54" s="95">
        <f t="shared" si="9"/>
        <v>126.56000000000002</v>
      </c>
      <c r="K54" s="94">
        <v>0.345824</v>
      </c>
      <c r="L54" s="39">
        <v>2145000</v>
      </c>
      <c r="M54" s="94">
        <v>0.189275</v>
      </c>
      <c r="N54" s="39">
        <v>1000000</v>
      </c>
      <c r="O54" s="94">
        <f t="shared" si="10"/>
        <v>0.345824</v>
      </c>
      <c r="P54" s="79"/>
      <c r="Q54" s="99">
        <f t="shared" si="11"/>
        <v>741792.4800000001</v>
      </c>
      <c r="R54" s="100">
        <f t="shared" si="12"/>
        <v>189275</v>
      </c>
      <c r="S54" s="100">
        <f t="shared" si="13"/>
        <v>0</v>
      </c>
      <c r="U54" s="62"/>
    </row>
    <row r="55" spans="1:21" ht="12.75">
      <c r="A55" s="19" t="s">
        <v>49</v>
      </c>
      <c r="B55" s="41" t="s">
        <v>11</v>
      </c>
      <c r="C55" s="18">
        <v>1996</v>
      </c>
      <c r="D55" s="18">
        <v>100</v>
      </c>
      <c r="E55" s="27" t="s">
        <v>50</v>
      </c>
      <c r="F55" s="29">
        <v>0.6</v>
      </c>
      <c r="G55" s="86">
        <f t="shared" si="7"/>
        <v>1.12</v>
      </c>
      <c r="H55" s="86">
        <v>1</v>
      </c>
      <c r="I55" s="86">
        <f t="shared" si="8"/>
        <v>1.12</v>
      </c>
      <c r="J55" s="95">
        <f t="shared" si="9"/>
        <v>126.56000000000002</v>
      </c>
      <c r="K55" s="94">
        <v>0.672517</v>
      </c>
      <c r="L55" s="39">
        <v>1166880</v>
      </c>
      <c r="M55" s="94">
        <v>0.655034</v>
      </c>
      <c r="N55" s="39"/>
      <c r="O55" s="94">
        <f t="shared" si="10"/>
        <v>0.672517</v>
      </c>
      <c r="P55" s="79">
        <v>600000</v>
      </c>
      <c r="Q55" s="99">
        <f t="shared" si="11"/>
        <v>784746.63696</v>
      </c>
      <c r="R55" s="100">
        <f t="shared" si="12"/>
        <v>0</v>
      </c>
      <c r="S55" s="100">
        <f t="shared" si="13"/>
        <v>403510.2</v>
      </c>
      <c r="U55" s="62"/>
    </row>
    <row r="56" spans="1:21" ht="12.75">
      <c r="A56" s="19" t="s">
        <v>51</v>
      </c>
      <c r="B56" s="41" t="s">
        <v>11</v>
      </c>
      <c r="C56" s="18">
        <v>1997</v>
      </c>
      <c r="D56" s="18">
        <v>100</v>
      </c>
      <c r="E56" s="27" t="s">
        <v>50</v>
      </c>
      <c r="F56" s="29">
        <v>0.6</v>
      </c>
      <c r="G56" s="86">
        <f t="shared" si="7"/>
        <v>1.12</v>
      </c>
      <c r="H56" s="86">
        <v>1</v>
      </c>
      <c r="I56" s="86">
        <f t="shared" si="8"/>
        <v>1.12</v>
      </c>
      <c r="J56" s="95">
        <f t="shared" si="9"/>
        <v>126.56000000000002</v>
      </c>
      <c r="K56" s="94">
        <v>0.672517</v>
      </c>
      <c r="L56" s="39">
        <v>1900000</v>
      </c>
      <c r="M56" s="94">
        <v>0.655034</v>
      </c>
      <c r="N56" s="39"/>
      <c r="O56" s="94">
        <f t="shared" si="10"/>
        <v>0.672517</v>
      </c>
      <c r="P56" s="79"/>
      <c r="Q56" s="99">
        <f t="shared" si="11"/>
        <v>1277782.3</v>
      </c>
      <c r="R56" s="100">
        <f t="shared" si="12"/>
        <v>0</v>
      </c>
      <c r="S56" s="100">
        <f t="shared" si="13"/>
        <v>0</v>
      </c>
      <c r="U56" s="62"/>
    </row>
    <row r="57" spans="1:21" ht="12.75">
      <c r="A57" s="19" t="s">
        <v>52</v>
      </c>
      <c r="B57" s="41" t="s">
        <v>11</v>
      </c>
      <c r="C57" s="18">
        <v>1951</v>
      </c>
      <c r="D57" s="18">
        <v>7</v>
      </c>
      <c r="E57" s="27" t="s">
        <v>24</v>
      </c>
      <c r="F57" s="29">
        <v>0.6</v>
      </c>
      <c r="G57" s="86">
        <f t="shared" si="7"/>
        <v>1.12</v>
      </c>
      <c r="H57" s="86">
        <v>1</v>
      </c>
      <c r="I57" s="86">
        <f t="shared" si="8"/>
        <v>1.12</v>
      </c>
      <c r="J57" s="95">
        <f t="shared" si="9"/>
        <v>126.56000000000002</v>
      </c>
      <c r="K57" s="94">
        <v>0.345824</v>
      </c>
      <c r="L57" s="39">
        <v>1375140</v>
      </c>
      <c r="M57" s="94">
        <v>0.189275</v>
      </c>
      <c r="N57" s="39"/>
      <c r="O57" s="94">
        <f t="shared" si="10"/>
        <v>0.345824</v>
      </c>
      <c r="P57" s="79">
        <v>4000000</v>
      </c>
      <c r="Q57" s="99">
        <f t="shared" si="11"/>
        <v>475556.41536000004</v>
      </c>
      <c r="R57" s="100">
        <f t="shared" si="12"/>
        <v>0</v>
      </c>
      <c r="S57" s="100">
        <f t="shared" si="13"/>
        <v>1383296</v>
      </c>
      <c r="U57" s="62"/>
    </row>
    <row r="58" spans="1:21" ht="12.75">
      <c r="A58" s="19" t="s">
        <v>53</v>
      </c>
      <c r="B58" s="41" t="s">
        <v>11</v>
      </c>
      <c r="C58" s="18">
        <v>1996</v>
      </c>
      <c r="D58" s="18">
        <v>10</v>
      </c>
      <c r="E58" s="27" t="s">
        <v>54</v>
      </c>
      <c r="F58" s="29">
        <v>0.6</v>
      </c>
      <c r="G58" s="86">
        <f t="shared" si="7"/>
        <v>1.12</v>
      </c>
      <c r="H58" s="86">
        <v>1</v>
      </c>
      <c r="I58" s="86">
        <f t="shared" si="8"/>
        <v>1.12</v>
      </c>
      <c r="J58" s="95">
        <f t="shared" si="9"/>
        <v>126.56000000000002</v>
      </c>
      <c r="K58" s="94">
        <v>0.345824</v>
      </c>
      <c r="L58" s="39">
        <v>750000</v>
      </c>
      <c r="M58" s="94">
        <v>0.189275</v>
      </c>
      <c r="N58" s="39"/>
      <c r="O58" s="94">
        <f t="shared" si="10"/>
        <v>0.345824</v>
      </c>
      <c r="P58" s="39"/>
      <c r="Q58" s="99">
        <f t="shared" si="11"/>
        <v>259368.00000000003</v>
      </c>
      <c r="R58" s="100">
        <f t="shared" si="12"/>
        <v>0</v>
      </c>
      <c r="S58" s="100">
        <f t="shared" si="13"/>
        <v>0</v>
      </c>
      <c r="U58" s="62"/>
    </row>
    <row r="59" spans="1:21" ht="12.75">
      <c r="A59" s="19" t="s">
        <v>55</v>
      </c>
      <c r="B59" s="41" t="s">
        <v>11</v>
      </c>
      <c r="C59" s="18">
        <v>1951</v>
      </c>
      <c r="D59" s="18">
        <v>7</v>
      </c>
      <c r="E59" s="27" t="s">
        <v>56</v>
      </c>
      <c r="F59" s="29">
        <v>0.6</v>
      </c>
      <c r="G59" s="86">
        <f t="shared" si="7"/>
        <v>1.12</v>
      </c>
      <c r="H59" s="86">
        <v>1</v>
      </c>
      <c r="I59" s="86">
        <f t="shared" si="8"/>
        <v>1.12</v>
      </c>
      <c r="J59" s="95">
        <f t="shared" si="9"/>
        <v>126.56000000000002</v>
      </c>
      <c r="K59" s="94">
        <v>0.345824</v>
      </c>
      <c r="L59" s="39">
        <v>8847040</v>
      </c>
      <c r="M59" s="94">
        <v>0.189275</v>
      </c>
      <c r="N59" s="39"/>
      <c r="O59" s="94">
        <f t="shared" si="10"/>
        <v>0.345824</v>
      </c>
      <c r="P59" s="39"/>
      <c r="Q59" s="99">
        <f t="shared" si="11"/>
        <v>3059518.76096</v>
      </c>
      <c r="R59" s="100">
        <f t="shared" si="12"/>
        <v>0</v>
      </c>
      <c r="S59" s="100">
        <f t="shared" si="13"/>
        <v>0</v>
      </c>
      <c r="U59" s="62"/>
    </row>
    <row r="60" spans="1:21" ht="12.75">
      <c r="A60" s="19"/>
      <c r="B60" s="41" t="s">
        <v>11</v>
      </c>
      <c r="C60" s="18">
        <v>1951</v>
      </c>
      <c r="D60" s="18">
        <v>7</v>
      </c>
      <c r="E60" s="27" t="s">
        <v>50</v>
      </c>
      <c r="F60" s="29">
        <v>0.6</v>
      </c>
      <c r="G60" s="86">
        <f t="shared" si="7"/>
        <v>1.12</v>
      </c>
      <c r="H60" s="86">
        <v>1</v>
      </c>
      <c r="I60" s="86">
        <f t="shared" si="8"/>
        <v>1.12</v>
      </c>
      <c r="J60" s="95">
        <f t="shared" si="9"/>
        <v>126.56000000000002</v>
      </c>
      <c r="K60" s="94">
        <v>0.345824</v>
      </c>
      <c r="L60" s="39">
        <v>13721940</v>
      </c>
      <c r="M60" s="94">
        <v>0.189275</v>
      </c>
      <c r="N60" s="19"/>
      <c r="O60" s="94">
        <f t="shared" si="10"/>
        <v>0.345824</v>
      </c>
      <c r="P60" s="39"/>
      <c r="Q60" s="99">
        <f t="shared" si="11"/>
        <v>4745376.17856</v>
      </c>
      <c r="R60" s="100">
        <f t="shared" si="12"/>
        <v>0</v>
      </c>
      <c r="S60" s="100">
        <f t="shared" si="13"/>
        <v>0</v>
      </c>
      <c r="U60" s="62"/>
    </row>
    <row r="61" spans="1:21" ht="13.5" thickBot="1">
      <c r="A61" s="19"/>
      <c r="B61" s="41" t="s">
        <v>11</v>
      </c>
      <c r="C61" s="18">
        <v>1951</v>
      </c>
      <c r="D61" s="18">
        <v>7</v>
      </c>
      <c r="E61" s="27" t="s">
        <v>50</v>
      </c>
      <c r="F61" s="29">
        <v>0.6</v>
      </c>
      <c r="G61" s="86">
        <f t="shared" si="7"/>
        <v>1.12</v>
      </c>
      <c r="H61" s="86">
        <v>1</v>
      </c>
      <c r="I61" s="86">
        <f t="shared" si="8"/>
        <v>1.12</v>
      </c>
      <c r="J61" s="95">
        <f t="shared" si="9"/>
        <v>126.56000000000002</v>
      </c>
      <c r="K61" s="94">
        <v>0.278715</v>
      </c>
      <c r="L61" s="39">
        <v>9184880</v>
      </c>
      <c r="M61" s="94">
        <v>0.049619</v>
      </c>
      <c r="N61" s="19"/>
      <c r="O61" s="94">
        <f t="shared" si="10"/>
        <v>0.278715</v>
      </c>
      <c r="P61" s="39"/>
      <c r="Q61" s="99">
        <f t="shared" si="11"/>
        <v>2559963.8292</v>
      </c>
      <c r="R61" s="100">
        <f t="shared" si="12"/>
        <v>0</v>
      </c>
      <c r="S61" s="100">
        <f t="shared" si="13"/>
        <v>0</v>
      </c>
      <c r="U61" s="62"/>
    </row>
    <row r="62" spans="11:19" ht="13.5" thickBot="1">
      <c r="K62" s="112" t="s">
        <v>218</v>
      </c>
      <c r="L62" s="113">
        <f>SUM(L35:L61)</f>
        <v>144221850</v>
      </c>
      <c r="M62" s="24"/>
      <c r="N62" s="113">
        <f>SUM(N35:N61)</f>
        <v>18150000</v>
      </c>
      <c r="P62" s="114">
        <f>SUM(P35:P61)</f>
        <v>7100000</v>
      </c>
      <c r="Q62" s="113">
        <f>SUM(Q35:Q61)</f>
        <v>45152445.87232001</v>
      </c>
      <c r="R62" s="113">
        <f>SUM(R35:R61)</f>
        <v>2157488.85</v>
      </c>
      <c r="S62" s="113">
        <f>SUM(S35:S61)</f>
        <v>2617811.7</v>
      </c>
    </row>
    <row r="63" spans="11:14" ht="12.75">
      <c r="K63" s="24"/>
      <c r="L63" s="4"/>
      <c r="M63" s="24"/>
      <c r="N63" s="4"/>
    </row>
    <row r="64" spans="1:14" ht="12.75">
      <c r="A64" s="17" t="s">
        <v>189</v>
      </c>
      <c r="K64" s="24"/>
      <c r="L64" s="4"/>
      <c r="M64" s="24"/>
      <c r="N64" s="4"/>
    </row>
    <row r="65" spans="1:52" s="25" customFormat="1" ht="12.75">
      <c r="A65" s="18">
        <v>1</v>
      </c>
      <c r="B65" s="18">
        <v>2</v>
      </c>
      <c r="C65" s="18">
        <v>3</v>
      </c>
      <c r="D65" s="18">
        <v>4</v>
      </c>
      <c r="E65" s="18">
        <v>5</v>
      </c>
      <c r="F65" s="85" t="s">
        <v>204</v>
      </c>
      <c r="G65" s="85" t="s">
        <v>205</v>
      </c>
      <c r="H65" s="18" t="s">
        <v>206</v>
      </c>
      <c r="I65" s="18" t="s">
        <v>207</v>
      </c>
      <c r="J65" s="18">
        <v>6</v>
      </c>
      <c r="K65" s="18">
        <v>25</v>
      </c>
      <c r="L65" s="18">
        <v>26</v>
      </c>
      <c r="M65" s="18">
        <v>28</v>
      </c>
      <c r="N65" s="18">
        <v>29</v>
      </c>
      <c r="O65" s="18">
        <v>30</v>
      </c>
      <c r="P65" s="18">
        <v>31</v>
      </c>
      <c r="Q65" s="18">
        <v>32</v>
      </c>
      <c r="R65" s="18">
        <v>33</v>
      </c>
      <c r="S65" s="18">
        <v>34</v>
      </c>
      <c r="U65" s="62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21" ht="12">
      <c r="A66" s="2" t="s">
        <v>190</v>
      </c>
      <c r="B66" s="36" t="s">
        <v>13</v>
      </c>
      <c r="C66" s="33" t="s">
        <v>14</v>
      </c>
      <c r="D66" s="36" t="s">
        <v>176</v>
      </c>
      <c r="E66" s="33" t="s">
        <v>15</v>
      </c>
      <c r="F66" s="36" t="s">
        <v>208</v>
      </c>
      <c r="G66" s="36"/>
      <c r="H66" s="32"/>
      <c r="I66" s="36"/>
      <c r="J66" s="36" t="s">
        <v>191</v>
      </c>
      <c r="K66" s="36" t="s">
        <v>192</v>
      </c>
      <c r="L66" s="36" t="s">
        <v>16</v>
      </c>
      <c r="M66" s="36" t="s">
        <v>193</v>
      </c>
      <c r="N66" s="33" t="s">
        <v>17</v>
      </c>
      <c r="O66" s="36" t="s">
        <v>194</v>
      </c>
      <c r="P66" s="36" t="s">
        <v>195</v>
      </c>
      <c r="Q66" s="33" t="s">
        <v>196</v>
      </c>
      <c r="R66" s="36" t="s">
        <v>193</v>
      </c>
      <c r="S66" s="36" t="s">
        <v>197</v>
      </c>
      <c r="U66" s="32"/>
    </row>
    <row r="67" spans="1:21" ht="12">
      <c r="A67" s="61"/>
      <c r="B67" s="37"/>
      <c r="C67" s="32" t="s">
        <v>18</v>
      </c>
      <c r="D67" s="37" t="s">
        <v>198</v>
      </c>
      <c r="E67" s="32" t="s">
        <v>19</v>
      </c>
      <c r="F67" s="37"/>
      <c r="G67" s="37"/>
      <c r="H67" s="32"/>
      <c r="I67" s="37"/>
      <c r="J67" s="37" t="s">
        <v>199</v>
      </c>
      <c r="K67" s="37" t="s">
        <v>200</v>
      </c>
      <c r="L67" s="37" t="s">
        <v>20</v>
      </c>
      <c r="M67" s="37" t="s">
        <v>200</v>
      </c>
      <c r="N67" s="32" t="s">
        <v>20</v>
      </c>
      <c r="O67" s="37" t="s">
        <v>200</v>
      </c>
      <c r="P67" s="37" t="s">
        <v>20</v>
      </c>
      <c r="Q67" s="32" t="s">
        <v>200</v>
      </c>
      <c r="R67" s="37" t="s">
        <v>200</v>
      </c>
      <c r="S67" s="37" t="s">
        <v>200</v>
      </c>
      <c r="U67" s="32"/>
    </row>
    <row r="68" spans="1:21" ht="12.75">
      <c r="A68" s="63"/>
      <c r="B68" s="29"/>
      <c r="C68" s="64"/>
      <c r="D68" s="29"/>
      <c r="E68" s="64"/>
      <c r="F68" s="29"/>
      <c r="G68" s="64"/>
      <c r="H68" s="10"/>
      <c r="I68" s="29"/>
      <c r="J68" s="38" t="s">
        <v>201</v>
      </c>
      <c r="K68" s="38" t="s">
        <v>202</v>
      </c>
      <c r="L68" s="29"/>
      <c r="M68" s="38" t="s">
        <v>202</v>
      </c>
      <c r="N68" s="64"/>
      <c r="O68" s="38" t="s">
        <v>202</v>
      </c>
      <c r="P68" s="29"/>
      <c r="Q68" s="64" t="s">
        <v>203</v>
      </c>
      <c r="R68" s="38" t="s">
        <v>203</v>
      </c>
      <c r="S68" s="29" t="s">
        <v>203</v>
      </c>
      <c r="U68" s="62"/>
    </row>
    <row r="69" spans="11:21" ht="12.75">
      <c r="K69" s="24"/>
      <c r="L69" s="4"/>
      <c r="M69" s="24"/>
      <c r="N69" s="4"/>
      <c r="S69" s="82"/>
      <c r="U69" s="80"/>
    </row>
    <row r="70" spans="1:21" ht="12.75">
      <c r="A70" s="66"/>
      <c r="B70" s="175" t="s">
        <v>58</v>
      </c>
      <c r="C70" s="175"/>
      <c r="D70" s="175"/>
      <c r="E70" s="175"/>
      <c r="F70" s="66"/>
      <c r="G70" s="67"/>
      <c r="H70" s="66"/>
      <c r="I70" s="67"/>
      <c r="J70" s="66"/>
      <c r="K70" s="64"/>
      <c r="L70" s="66"/>
      <c r="M70" s="64"/>
      <c r="N70" s="66"/>
      <c r="O70" s="66"/>
      <c r="P70" s="66"/>
      <c r="Q70" s="66"/>
      <c r="R70" s="66"/>
      <c r="S70" s="66"/>
      <c r="U70" s="80"/>
    </row>
    <row r="71" spans="1:21" ht="12.75">
      <c r="A71" s="29">
        <v>1</v>
      </c>
      <c r="B71" s="31" t="s">
        <v>59</v>
      </c>
      <c r="C71" s="29">
        <v>1983</v>
      </c>
      <c r="D71" s="29">
        <v>8</v>
      </c>
      <c r="E71" s="63" t="s">
        <v>60</v>
      </c>
      <c r="F71" s="29">
        <v>0.8</v>
      </c>
      <c r="G71" s="86">
        <f aca="true" t="shared" si="14" ref="G71:G78">1+F71*(0.2)</f>
        <v>1.1600000000000001</v>
      </c>
      <c r="H71" s="86">
        <v>1</v>
      </c>
      <c r="I71" s="86">
        <f aca="true" t="shared" si="15" ref="I71:I78">G71*H71</f>
        <v>1.1600000000000001</v>
      </c>
      <c r="J71" s="95">
        <f aca="true" t="shared" si="16" ref="J71:J78">I71*113</f>
        <v>131.08</v>
      </c>
      <c r="K71" s="86">
        <v>0.411235</v>
      </c>
      <c r="L71" s="30">
        <v>120000</v>
      </c>
      <c r="M71" s="86">
        <v>0.026295</v>
      </c>
      <c r="N71" s="31"/>
      <c r="O71" s="94">
        <f aca="true" t="shared" si="17" ref="O71:O78">K71</f>
        <v>0.411235</v>
      </c>
      <c r="P71" s="30">
        <v>15000</v>
      </c>
      <c r="Q71" s="99">
        <f aca="true" t="shared" si="18" ref="Q71:Q78">K71*L71</f>
        <v>49348.200000000004</v>
      </c>
      <c r="R71" s="100">
        <f aca="true" t="shared" si="19" ref="R71:R78">M71*N71</f>
        <v>0</v>
      </c>
      <c r="S71" s="100">
        <f aca="true" t="shared" si="20" ref="S71:S78">O71*P71</f>
        <v>6168.525000000001</v>
      </c>
      <c r="U71" s="62"/>
    </row>
    <row r="72" spans="1:21" ht="12.75">
      <c r="A72" s="18">
        <v>2</v>
      </c>
      <c r="B72" s="19" t="s">
        <v>61</v>
      </c>
      <c r="C72" s="18">
        <v>1983</v>
      </c>
      <c r="D72" s="18">
        <v>8</v>
      </c>
      <c r="E72" s="41" t="s">
        <v>60</v>
      </c>
      <c r="F72" s="29">
        <v>0.8</v>
      </c>
      <c r="G72" s="86">
        <f t="shared" si="14"/>
        <v>1.1600000000000001</v>
      </c>
      <c r="H72" s="86">
        <v>1</v>
      </c>
      <c r="I72" s="86">
        <f t="shared" si="15"/>
        <v>1.1600000000000001</v>
      </c>
      <c r="J72" s="95">
        <f t="shared" si="16"/>
        <v>131.08</v>
      </c>
      <c r="K72" s="94">
        <v>0.411235</v>
      </c>
      <c r="L72" s="21">
        <v>735000</v>
      </c>
      <c r="M72" s="94">
        <v>0.026295</v>
      </c>
      <c r="N72" s="19"/>
      <c r="O72" s="94">
        <f t="shared" si="17"/>
        <v>0.411235</v>
      </c>
      <c r="P72" s="21">
        <v>700000</v>
      </c>
      <c r="Q72" s="99">
        <f t="shared" si="18"/>
        <v>302257.72500000003</v>
      </c>
      <c r="R72" s="100">
        <f t="shared" si="19"/>
        <v>0</v>
      </c>
      <c r="S72" s="100">
        <f t="shared" si="20"/>
        <v>287864.5</v>
      </c>
      <c r="U72" s="62"/>
    </row>
    <row r="73" spans="1:21" ht="12.75">
      <c r="A73" s="18">
        <v>3</v>
      </c>
      <c r="B73" s="19" t="s">
        <v>62</v>
      </c>
      <c r="C73" s="18">
        <v>1983</v>
      </c>
      <c r="D73" s="18">
        <v>8</v>
      </c>
      <c r="E73" s="41" t="s">
        <v>60</v>
      </c>
      <c r="F73" s="29">
        <v>0.8</v>
      </c>
      <c r="G73" s="86">
        <f t="shared" si="14"/>
        <v>1.1600000000000001</v>
      </c>
      <c r="H73" s="86">
        <v>1</v>
      </c>
      <c r="I73" s="86">
        <f t="shared" si="15"/>
        <v>1.1600000000000001</v>
      </c>
      <c r="J73" s="95">
        <f t="shared" si="16"/>
        <v>131.08</v>
      </c>
      <c r="K73" s="94">
        <v>0.411235</v>
      </c>
      <c r="L73" s="21">
        <v>610000</v>
      </c>
      <c r="M73" s="94">
        <v>0.026295</v>
      </c>
      <c r="N73" s="19"/>
      <c r="O73" s="94">
        <f t="shared" si="17"/>
        <v>0.411235</v>
      </c>
      <c r="P73" s="21">
        <v>300000</v>
      </c>
      <c r="Q73" s="99">
        <f t="shared" si="18"/>
        <v>250853.35</v>
      </c>
      <c r="R73" s="100">
        <f t="shared" si="19"/>
        <v>0</v>
      </c>
      <c r="S73" s="100">
        <f t="shared" si="20"/>
        <v>123370.5</v>
      </c>
      <c r="U73" s="62"/>
    </row>
    <row r="74" spans="1:21" ht="12.75">
      <c r="A74" s="18">
        <v>4</v>
      </c>
      <c r="B74" s="19" t="s">
        <v>63</v>
      </c>
      <c r="C74" s="18">
        <v>1983</v>
      </c>
      <c r="D74" s="18">
        <v>8</v>
      </c>
      <c r="E74" s="41" t="s">
        <v>60</v>
      </c>
      <c r="F74" s="29">
        <v>0.8</v>
      </c>
      <c r="G74" s="86">
        <f t="shared" si="14"/>
        <v>1.1600000000000001</v>
      </c>
      <c r="H74" s="86">
        <v>1</v>
      </c>
      <c r="I74" s="86">
        <f t="shared" si="15"/>
        <v>1.1600000000000001</v>
      </c>
      <c r="J74" s="95">
        <f t="shared" si="16"/>
        <v>131.08</v>
      </c>
      <c r="K74" s="94">
        <v>0.411235</v>
      </c>
      <c r="L74" s="21">
        <v>92000</v>
      </c>
      <c r="M74" s="94">
        <v>0.026295</v>
      </c>
      <c r="N74" s="19"/>
      <c r="O74" s="94">
        <f t="shared" si="17"/>
        <v>0.411235</v>
      </c>
      <c r="P74" s="21">
        <v>50000</v>
      </c>
      <c r="Q74" s="99">
        <f t="shared" si="18"/>
        <v>37833.62</v>
      </c>
      <c r="R74" s="100">
        <f t="shared" si="19"/>
        <v>0</v>
      </c>
      <c r="S74" s="100">
        <f t="shared" si="20"/>
        <v>20561.75</v>
      </c>
      <c r="U74" s="62"/>
    </row>
    <row r="75" spans="1:21" ht="12.75">
      <c r="A75" s="18">
        <v>5</v>
      </c>
      <c r="B75" s="19" t="s">
        <v>64</v>
      </c>
      <c r="C75" s="18">
        <v>1996</v>
      </c>
      <c r="D75" s="18">
        <v>8</v>
      </c>
      <c r="E75" s="41" t="s">
        <v>60</v>
      </c>
      <c r="F75" s="29">
        <v>0.8</v>
      </c>
      <c r="G75" s="86">
        <f t="shared" si="14"/>
        <v>1.1600000000000001</v>
      </c>
      <c r="H75" s="86">
        <v>1</v>
      </c>
      <c r="I75" s="86">
        <f t="shared" si="15"/>
        <v>1.1600000000000001</v>
      </c>
      <c r="J75" s="95">
        <f t="shared" si="16"/>
        <v>131.08</v>
      </c>
      <c r="K75" s="94">
        <v>0.411235</v>
      </c>
      <c r="L75" s="23">
        <v>92000</v>
      </c>
      <c r="M75" s="94">
        <v>0.026295</v>
      </c>
      <c r="N75" s="19"/>
      <c r="O75" s="94">
        <f t="shared" si="17"/>
        <v>0.411235</v>
      </c>
      <c r="P75" s="21">
        <v>40000</v>
      </c>
      <c r="Q75" s="99">
        <f t="shared" si="18"/>
        <v>37833.62</v>
      </c>
      <c r="R75" s="100">
        <f t="shared" si="19"/>
        <v>0</v>
      </c>
      <c r="S75" s="100">
        <f t="shared" si="20"/>
        <v>16449.4</v>
      </c>
      <c r="U75" s="62"/>
    </row>
    <row r="76" spans="1:21" ht="12.75">
      <c r="A76" s="18">
        <v>6</v>
      </c>
      <c r="B76" s="19" t="s">
        <v>65</v>
      </c>
      <c r="C76" s="18">
        <v>1996</v>
      </c>
      <c r="D76" s="18">
        <v>8</v>
      </c>
      <c r="E76" s="41" t="s">
        <v>60</v>
      </c>
      <c r="F76" s="29">
        <v>0.8</v>
      </c>
      <c r="G76" s="86">
        <f t="shared" si="14"/>
        <v>1.1600000000000001</v>
      </c>
      <c r="H76" s="86">
        <v>1</v>
      </c>
      <c r="I76" s="86">
        <f t="shared" si="15"/>
        <v>1.1600000000000001</v>
      </c>
      <c r="J76" s="95">
        <f t="shared" si="16"/>
        <v>131.08</v>
      </c>
      <c r="K76" s="94">
        <v>0.411235</v>
      </c>
      <c r="L76" s="21">
        <v>340000</v>
      </c>
      <c r="M76" s="94">
        <v>0.026295</v>
      </c>
      <c r="N76" s="19"/>
      <c r="O76" s="94">
        <f t="shared" si="17"/>
        <v>0.411235</v>
      </c>
      <c r="P76" s="21"/>
      <c r="Q76" s="99">
        <f t="shared" si="18"/>
        <v>139819.9</v>
      </c>
      <c r="R76" s="100">
        <f t="shared" si="19"/>
        <v>0</v>
      </c>
      <c r="S76" s="100">
        <f t="shared" si="20"/>
        <v>0</v>
      </c>
      <c r="U76" s="62"/>
    </row>
    <row r="77" spans="1:21" ht="12.75">
      <c r="A77" s="18">
        <v>7</v>
      </c>
      <c r="B77" s="19" t="s">
        <v>66</v>
      </c>
      <c r="C77" s="18">
        <v>1996</v>
      </c>
      <c r="D77" s="18">
        <v>8</v>
      </c>
      <c r="E77" s="41" t="s">
        <v>60</v>
      </c>
      <c r="F77" s="29">
        <v>0.8</v>
      </c>
      <c r="G77" s="86">
        <f t="shared" si="14"/>
        <v>1.1600000000000001</v>
      </c>
      <c r="H77" s="86">
        <v>1</v>
      </c>
      <c r="I77" s="86">
        <f t="shared" si="15"/>
        <v>1.1600000000000001</v>
      </c>
      <c r="J77" s="95">
        <f t="shared" si="16"/>
        <v>131.08</v>
      </c>
      <c r="K77" s="94">
        <v>0.411235</v>
      </c>
      <c r="L77" s="21">
        <v>100130</v>
      </c>
      <c r="M77" s="94">
        <v>0.026295</v>
      </c>
      <c r="N77" s="19"/>
      <c r="O77" s="94">
        <f t="shared" si="17"/>
        <v>0.411235</v>
      </c>
      <c r="P77" s="21">
        <v>100000</v>
      </c>
      <c r="Q77" s="99">
        <f t="shared" si="18"/>
        <v>41176.96055</v>
      </c>
      <c r="R77" s="100">
        <f t="shared" si="19"/>
        <v>0</v>
      </c>
      <c r="S77" s="100">
        <f t="shared" si="20"/>
        <v>41123.5</v>
      </c>
      <c r="U77" s="62"/>
    </row>
    <row r="78" spans="1:21" ht="12.75">
      <c r="A78" s="18">
        <v>8</v>
      </c>
      <c r="B78" s="19" t="s">
        <v>67</v>
      </c>
      <c r="C78" s="18">
        <v>1996</v>
      </c>
      <c r="D78" s="18">
        <v>8</v>
      </c>
      <c r="E78" s="41" t="s">
        <v>60</v>
      </c>
      <c r="F78" s="29">
        <v>0.8</v>
      </c>
      <c r="G78" s="86">
        <f t="shared" si="14"/>
        <v>1.1600000000000001</v>
      </c>
      <c r="H78" s="86">
        <v>1</v>
      </c>
      <c r="I78" s="86">
        <f t="shared" si="15"/>
        <v>1.1600000000000001</v>
      </c>
      <c r="J78" s="95">
        <f t="shared" si="16"/>
        <v>131.08</v>
      </c>
      <c r="K78" s="94">
        <v>0.411235</v>
      </c>
      <c r="L78" s="23">
        <v>146000</v>
      </c>
      <c r="M78" s="94">
        <v>0.026295</v>
      </c>
      <c r="N78" s="19"/>
      <c r="O78" s="94">
        <f t="shared" si="17"/>
        <v>0.411235</v>
      </c>
      <c r="P78" s="21">
        <v>100000</v>
      </c>
      <c r="Q78" s="99">
        <f t="shared" si="18"/>
        <v>60040.310000000005</v>
      </c>
      <c r="R78" s="100">
        <f t="shared" si="19"/>
        <v>0</v>
      </c>
      <c r="S78" s="100">
        <f t="shared" si="20"/>
        <v>41123.5</v>
      </c>
      <c r="U78" s="62"/>
    </row>
    <row r="79" spans="1:21" ht="12.75">
      <c r="A79" s="68"/>
      <c r="B79" s="68"/>
      <c r="C79" s="68"/>
      <c r="D79" s="68"/>
      <c r="E79" s="57"/>
      <c r="F79" s="68"/>
      <c r="G79" s="68"/>
      <c r="H79" s="68"/>
      <c r="I79" s="68"/>
      <c r="J79" s="68"/>
      <c r="K79" s="28"/>
      <c r="L79" s="69"/>
      <c r="M79" s="28"/>
      <c r="N79" s="68"/>
      <c r="O79" s="68"/>
      <c r="P79" s="68"/>
      <c r="Q79" s="99"/>
      <c r="R79" s="100"/>
      <c r="S79" s="100"/>
      <c r="U79" s="80"/>
    </row>
    <row r="80" spans="1:21" ht="12.75">
      <c r="A80" s="70"/>
      <c r="B80" s="174" t="s">
        <v>68</v>
      </c>
      <c r="C80" s="174"/>
      <c r="D80" s="174"/>
      <c r="E80" s="70"/>
      <c r="F80" s="70"/>
      <c r="G80" s="70"/>
      <c r="H80" s="70"/>
      <c r="I80" s="70"/>
      <c r="J80" s="70"/>
      <c r="K80" s="42"/>
      <c r="L80" s="71"/>
      <c r="M80" s="42"/>
      <c r="N80" s="70"/>
      <c r="O80" s="70"/>
      <c r="P80" s="70"/>
      <c r="Q80" s="70"/>
      <c r="R80" s="70"/>
      <c r="S80" s="70"/>
      <c r="U80" s="80"/>
    </row>
    <row r="81" spans="1:21" ht="12.75">
      <c r="A81" s="29">
        <v>9</v>
      </c>
      <c r="B81" s="31" t="s">
        <v>69</v>
      </c>
      <c r="C81" s="29">
        <v>1987</v>
      </c>
      <c r="D81" s="29">
        <v>10</v>
      </c>
      <c r="E81" s="63" t="s">
        <v>70</v>
      </c>
      <c r="F81" s="92">
        <v>1</v>
      </c>
      <c r="G81" s="86">
        <f aca="true" t="shared" si="21" ref="G81:G88">1+F81*(0.2)</f>
        <v>1.2</v>
      </c>
      <c r="H81" s="86">
        <v>1</v>
      </c>
      <c r="I81" s="86">
        <f aca="true" t="shared" si="22" ref="I81:I88">G81*H81</f>
        <v>1.2</v>
      </c>
      <c r="J81" s="95">
        <f aca="true" t="shared" si="23" ref="J81:J88">I81*113</f>
        <v>135.6</v>
      </c>
      <c r="K81" s="86">
        <v>0.497914</v>
      </c>
      <c r="L81" s="30">
        <v>341600</v>
      </c>
      <c r="M81" s="86">
        <v>0.039786</v>
      </c>
      <c r="N81" s="31"/>
      <c r="O81" s="94">
        <f aca="true" t="shared" si="24" ref="O81:O88">K81</f>
        <v>0.497914</v>
      </c>
      <c r="P81" s="31"/>
      <c r="Q81" s="99">
        <f aca="true" t="shared" si="25" ref="Q81:Q88">K81*L81</f>
        <v>170087.4224</v>
      </c>
      <c r="R81" s="100">
        <f aca="true" t="shared" si="26" ref="R81:R88">M81*N81</f>
        <v>0</v>
      </c>
      <c r="S81" s="100">
        <f aca="true" t="shared" si="27" ref="S81:S88">O81*P81</f>
        <v>0</v>
      </c>
      <c r="U81" s="62"/>
    </row>
    <row r="82" spans="1:21" ht="12.75">
      <c r="A82" s="18">
        <v>10</v>
      </c>
      <c r="B82" s="19" t="s">
        <v>71</v>
      </c>
      <c r="C82" s="18">
        <v>1987</v>
      </c>
      <c r="D82" s="18">
        <v>10</v>
      </c>
      <c r="E82" s="41" t="s">
        <v>70</v>
      </c>
      <c r="F82" s="92">
        <v>1</v>
      </c>
      <c r="G82" s="86">
        <f t="shared" si="21"/>
        <v>1.2</v>
      </c>
      <c r="H82" s="86">
        <v>1</v>
      </c>
      <c r="I82" s="86">
        <f t="shared" si="22"/>
        <v>1.2</v>
      </c>
      <c r="J82" s="95">
        <f t="shared" si="23"/>
        <v>135.6</v>
      </c>
      <c r="K82" s="94">
        <v>0.497914</v>
      </c>
      <c r="L82" s="21">
        <v>441000</v>
      </c>
      <c r="M82" s="94">
        <v>0.039786</v>
      </c>
      <c r="N82" s="19"/>
      <c r="O82" s="94">
        <f t="shared" si="24"/>
        <v>0.497914</v>
      </c>
      <c r="P82" s="19"/>
      <c r="Q82" s="99">
        <f t="shared" si="25"/>
        <v>219580.07400000002</v>
      </c>
      <c r="R82" s="100">
        <f t="shared" si="26"/>
        <v>0</v>
      </c>
      <c r="S82" s="100">
        <f t="shared" si="27"/>
        <v>0</v>
      </c>
      <c r="U82" s="62"/>
    </row>
    <row r="83" spans="1:21" ht="12.75">
      <c r="A83" s="18">
        <v>11</v>
      </c>
      <c r="B83" s="19" t="s">
        <v>69</v>
      </c>
      <c r="C83" s="18">
        <v>1987</v>
      </c>
      <c r="D83" s="18">
        <v>10</v>
      </c>
      <c r="E83" s="41" t="s">
        <v>70</v>
      </c>
      <c r="F83" s="92">
        <v>1</v>
      </c>
      <c r="G83" s="86">
        <f t="shared" si="21"/>
        <v>1.2</v>
      </c>
      <c r="H83" s="86">
        <v>1</v>
      </c>
      <c r="I83" s="86">
        <f t="shared" si="22"/>
        <v>1.2</v>
      </c>
      <c r="J83" s="95">
        <f t="shared" si="23"/>
        <v>135.6</v>
      </c>
      <c r="K83" s="94">
        <v>0.497914</v>
      </c>
      <c r="L83" s="21">
        <v>432800</v>
      </c>
      <c r="M83" s="94">
        <v>0.039786</v>
      </c>
      <c r="N83" s="19"/>
      <c r="O83" s="94">
        <f t="shared" si="24"/>
        <v>0.497914</v>
      </c>
      <c r="P83" s="19"/>
      <c r="Q83" s="99">
        <f t="shared" si="25"/>
        <v>215497.1792</v>
      </c>
      <c r="R83" s="100">
        <f t="shared" si="26"/>
        <v>0</v>
      </c>
      <c r="S83" s="100">
        <f t="shared" si="27"/>
        <v>0</v>
      </c>
      <c r="U83" s="62"/>
    </row>
    <row r="84" spans="1:21" ht="12.75">
      <c r="A84" s="18">
        <v>12</v>
      </c>
      <c r="B84" s="19" t="s">
        <v>64</v>
      </c>
      <c r="C84" s="18">
        <v>1987</v>
      </c>
      <c r="D84" s="18">
        <v>10</v>
      </c>
      <c r="E84" s="41" t="s">
        <v>70</v>
      </c>
      <c r="F84" s="92">
        <v>1</v>
      </c>
      <c r="G84" s="86">
        <f t="shared" si="21"/>
        <v>1.2</v>
      </c>
      <c r="H84" s="86">
        <v>1</v>
      </c>
      <c r="I84" s="86">
        <f t="shared" si="22"/>
        <v>1.2</v>
      </c>
      <c r="J84" s="95">
        <f t="shared" si="23"/>
        <v>135.6</v>
      </c>
      <c r="K84" s="94">
        <v>0.497914</v>
      </c>
      <c r="L84" s="21">
        <v>42000</v>
      </c>
      <c r="M84" s="94">
        <v>0.039786</v>
      </c>
      <c r="N84" s="19"/>
      <c r="O84" s="94">
        <f t="shared" si="24"/>
        <v>0.497914</v>
      </c>
      <c r="P84" s="19"/>
      <c r="Q84" s="99">
        <f t="shared" si="25"/>
        <v>20912.388000000003</v>
      </c>
      <c r="R84" s="100">
        <f t="shared" si="26"/>
        <v>0</v>
      </c>
      <c r="S84" s="100">
        <f t="shared" si="27"/>
        <v>0</v>
      </c>
      <c r="U84" s="62"/>
    </row>
    <row r="85" spans="1:21" ht="12.75">
      <c r="A85" s="18">
        <v>13</v>
      </c>
      <c r="B85" s="19" t="s">
        <v>72</v>
      </c>
      <c r="C85" s="18">
        <v>1987</v>
      </c>
      <c r="D85" s="18">
        <v>10</v>
      </c>
      <c r="E85" s="41" t="s">
        <v>70</v>
      </c>
      <c r="F85" s="92">
        <v>1</v>
      </c>
      <c r="G85" s="86">
        <f t="shared" si="21"/>
        <v>1.2</v>
      </c>
      <c r="H85" s="86">
        <v>1</v>
      </c>
      <c r="I85" s="86">
        <f t="shared" si="22"/>
        <v>1.2</v>
      </c>
      <c r="J85" s="95">
        <f t="shared" si="23"/>
        <v>135.6</v>
      </c>
      <c r="K85" s="94">
        <v>0.497914</v>
      </c>
      <c r="L85" s="21">
        <v>140000</v>
      </c>
      <c r="M85" s="94">
        <v>0.039786</v>
      </c>
      <c r="N85" s="19"/>
      <c r="O85" s="94">
        <f t="shared" si="24"/>
        <v>0.497914</v>
      </c>
      <c r="P85" s="19"/>
      <c r="Q85" s="99">
        <f t="shared" si="25"/>
        <v>69707.96</v>
      </c>
      <c r="R85" s="100">
        <f t="shared" si="26"/>
        <v>0</v>
      </c>
      <c r="S85" s="100">
        <f t="shared" si="27"/>
        <v>0</v>
      </c>
      <c r="U85" s="62"/>
    </row>
    <row r="86" spans="1:21" ht="12.75">
      <c r="A86" s="18">
        <v>14</v>
      </c>
      <c r="B86" s="19" t="s">
        <v>73</v>
      </c>
      <c r="C86" s="18">
        <v>1987</v>
      </c>
      <c r="D86" s="18">
        <v>10</v>
      </c>
      <c r="E86" s="41" t="s">
        <v>70</v>
      </c>
      <c r="F86" s="92">
        <v>1</v>
      </c>
      <c r="G86" s="86">
        <f t="shared" si="21"/>
        <v>1.2</v>
      </c>
      <c r="H86" s="86">
        <v>1</v>
      </c>
      <c r="I86" s="86">
        <f t="shared" si="22"/>
        <v>1.2</v>
      </c>
      <c r="J86" s="95">
        <f t="shared" si="23"/>
        <v>135.6</v>
      </c>
      <c r="K86" s="94">
        <v>0.497914</v>
      </c>
      <c r="L86" s="21">
        <v>45000</v>
      </c>
      <c r="M86" s="94">
        <v>0.039786</v>
      </c>
      <c r="N86" s="19"/>
      <c r="O86" s="94">
        <f t="shared" si="24"/>
        <v>0.497914</v>
      </c>
      <c r="P86" s="19"/>
      <c r="Q86" s="99">
        <f t="shared" si="25"/>
        <v>22406.13</v>
      </c>
      <c r="R86" s="100">
        <f t="shared" si="26"/>
        <v>0</v>
      </c>
      <c r="S86" s="100">
        <f t="shared" si="27"/>
        <v>0</v>
      </c>
      <c r="U86" s="62"/>
    </row>
    <row r="87" spans="1:21" ht="12.75">
      <c r="A87" s="18">
        <v>15</v>
      </c>
      <c r="B87" s="19" t="s">
        <v>64</v>
      </c>
      <c r="C87" s="18">
        <v>1987</v>
      </c>
      <c r="D87" s="18">
        <v>10</v>
      </c>
      <c r="E87" s="41" t="s">
        <v>70</v>
      </c>
      <c r="F87" s="92">
        <v>1</v>
      </c>
      <c r="G87" s="86">
        <f t="shared" si="21"/>
        <v>1.2</v>
      </c>
      <c r="H87" s="86">
        <v>1</v>
      </c>
      <c r="I87" s="86">
        <f t="shared" si="22"/>
        <v>1.2</v>
      </c>
      <c r="J87" s="95">
        <f t="shared" si="23"/>
        <v>135.6</v>
      </c>
      <c r="K87" s="94">
        <v>0.497914</v>
      </c>
      <c r="L87" s="21">
        <v>36000</v>
      </c>
      <c r="M87" s="94">
        <v>0.039786</v>
      </c>
      <c r="N87" s="19"/>
      <c r="O87" s="94">
        <f t="shared" si="24"/>
        <v>0.497914</v>
      </c>
      <c r="P87" s="19"/>
      <c r="Q87" s="99">
        <f t="shared" si="25"/>
        <v>17924.904000000002</v>
      </c>
      <c r="R87" s="100">
        <f t="shared" si="26"/>
        <v>0</v>
      </c>
      <c r="S87" s="100">
        <f t="shared" si="27"/>
        <v>0</v>
      </c>
      <c r="U87" s="62"/>
    </row>
    <row r="88" spans="1:21" ht="12.75">
      <c r="A88" s="18">
        <v>16</v>
      </c>
      <c r="B88" s="19" t="s">
        <v>74</v>
      </c>
      <c r="C88" s="18">
        <v>1987</v>
      </c>
      <c r="D88" s="18">
        <v>10</v>
      </c>
      <c r="E88" s="41" t="s">
        <v>70</v>
      </c>
      <c r="F88" s="92">
        <v>1</v>
      </c>
      <c r="G88" s="86">
        <f t="shared" si="21"/>
        <v>1.2</v>
      </c>
      <c r="H88" s="86">
        <v>1</v>
      </c>
      <c r="I88" s="86">
        <f t="shared" si="22"/>
        <v>1.2</v>
      </c>
      <c r="J88" s="95">
        <f t="shared" si="23"/>
        <v>135.6</v>
      </c>
      <c r="K88" s="94">
        <v>0.497914</v>
      </c>
      <c r="L88" s="21">
        <v>7000</v>
      </c>
      <c r="M88" s="94">
        <v>0.039786</v>
      </c>
      <c r="N88" s="19"/>
      <c r="O88" s="94">
        <f t="shared" si="24"/>
        <v>0.497914</v>
      </c>
      <c r="P88" s="19"/>
      <c r="Q88" s="99">
        <f t="shared" si="25"/>
        <v>3485.398</v>
      </c>
      <c r="R88" s="100">
        <f t="shared" si="26"/>
        <v>0</v>
      </c>
      <c r="S88" s="100">
        <f t="shared" si="27"/>
        <v>0</v>
      </c>
      <c r="U88" s="62"/>
    </row>
    <row r="89" spans="1:21" ht="12.75">
      <c r="A89" s="28"/>
      <c r="B89" s="68"/>
      <c r="C89" s="28"/>
      <c r="D89" s="28"/>
      <c r="E89" s="72"/>
      <c r="F89" s="28"/>
      <c r="G89" s="28"/>
      <c r="H89" s="68"/>
      <c r="I89" s="28"/>
      <c r="J89" s="68"/>
      <c r="K89" s="28"/>
      <c r="L89" s="73"/>
      <c r="M89" s="28"/>
      <c r="N89" s="68"/>
      <c r="O89" s="68"/>
      <c r="P89" s="68"/>
      <c r="Q89" s="99"/>
      <c r="R89" s="100"/>
      <c r="S89" s="100"/>
      <c r="U89" s="62"/>
    </row>
    <row r="90" spans="1:21" ht="12.75">
      <c r="A90" s="42"/>
      <c r="B90" s="174" t="s">
        <v>75</v>
      </c>
      <c r="C90" s="174"/>
      <c r="D90" s="174"/>
      <c r="E90" s="42"/>
      <c r="F90" s="42"/>
      <c r="G90" s="42"/>
      <c r="H90" s="70"/>
      <c r="I90" s="42"/>
      <c r="J90" s="70"/>
      <c r="K90" s="42"/>
      <c r="L90" s="71"/>
      <c r="M90" s="42"/>
      <c r="N90" s="70"/>
      <c r="O90" s="70"/>
      <c r="P90" s="70"/>
      <c r="Q90" s="70"/>
      <c r="R90" s="70"/>
      <c r="S90" s="70"/>
      <c r="U90" s="62"/>
    </row>
    <row r="91" spans="1:21" ht="12.75">
      <c r="A91" s="29">
        <v>17</v>
      </c>
      <c r="B91" s="31" t="s">
        <v>76</v>
      </c>
      <c r="C91" s="29" t="s">
        <v>44</v>
      </c>
      <c r="D91" s="29">
        <v>8</v>
      </c>
      <c r="E91" s="63">
        <v>1</v>
      </c>
      <c r="F91" s="29">
        <v>0.8</v>
      </c>
      <c r="G91" s="86">
        <f>1+F91*(0.2)</f>
        <v>1.1600000000000001</v>
      </c>
      <c r="H91" s="86">
        <v>1</v>
      </c>
      <c r="I91" s="86">
        <f>G91*H91</f>
        <v>1.1600000000000001</v>
      </c>
      <c r="J91" s="95">
        <f>I91*113</f>
        <v>131.08</v>
      </c>
      <c r="K91" s="86">
        <v>0.452966</v>
      </c>
      <c r="L91" s="30">
        <v>929280</v>
      </c>
      <c r="M91" s="86">
        <v>0.317005</v>
      </c>
      <c r="N91" s="31"/>
      <c r="O91" s="94">
        <f>K91</f>
        <v>0.452966</v>
      </c>
      <c r="P91" s="31"/>
      <c r="Q91" s="99">
        <f>K91*L91</f>
        <v>420932.24448</v>
      </c>
      <c r="R91" s="100">
        <f>M91*N91</f>
        <v>0</v>
      </c>
      <c r="S91" s="100">
        <f>O91*P91</f>
        <v>0</v>
      </c>
      <c r="U91" s="62"/>
    </row>
    <row r="92" spans="1:21" ht="12.75">
      <c r="A92" s="18">
        <v>18</v>
      </c>
      <c r="B92" s="19" t="s">
        <v>77</v>
      </c>
      <c r="C92" s="18" t="s">
        <v>44</v>
      </c>
      <c r="D92" s="18">
        <v>8</v>
      </c>
      <c r="E92" s="41">
        <v>1</v>
      </c>
      <c r="F92" s="29">
        <v>0.8</v>
      </c>
      <c r="G92" s="86">
        <f>1+F92*(0.2)</f>
        <v>1.1600000000000001</v>
      </c>
      <c r="H92" s="86">
        <v>1</v>
      </c>
      <c r="I92" s="86">
        <f>G92*H92</f>
        <v>1.1600000000000001</v>
      </c>
      <c r="J92" s="95">
        <f>I92*113</f>
        <v>131.08</v>
      </c>
      <c r="K92" s="94">
        <v>0.452966</v>
      </c>
      <c r="L92" s="21">
        <v>330240</v>
      </c>
      <c r="M92" s="94">
        <v>0.317005</v>
      </c>
      <c r="N92" s="19"/>
      <c r="O92" s="94">
        <f>K92</f>
        <v>0.452966</v>
      </c>
      <c r="P92" s="19"/>
      <c r="Q92" s="99">
        <f>K92*L92</f>
        <v>149587.49184</v>
      </c>
      <c r="R92" s="100">
        <f>M92*N92</f>
        <v>0</v>
      </c>
      <c r="S92" s="100">
        <f>O92*P92</f>
        <v>0</v>
      </c>
      <c r="U92" s="62"/>
    </row>
    <row r="93" spans="1:21" ht="12.75">
      <c r="A93" s="18">
        <v>19</v>
      </c>
      <c r="B93" s="19" t="s">
        <v>78</v>
      </c>
      <c r="C93" s="18" t="s">
        <v>44</v>
      </c>
      <c r="D93" s="18">
        <v>8</v>
      </c>
      <c r="E93" s="41">
        <v>1</v>
      </c>
      <c r="F93" s="29">
        <v>0.8</v>
      </c>
      <c r="G93" s="86">
        <f>1+F93*(0.2)</f>
        <v>1.1600000000000001</v>
      </c>
      <c r="H93" s="86">
        <v>1</v>
      </c>
      <c r="I93" s="86">
        <f>G93*H93</f>
        <v>1.1600000000000001</v>
      </c>
      <c r="J93" s="95">
        <f>I93*113</f>
        <v>131.08</v>
      </c>
      <c r="K93" s="94">
        <v>0.452966</v>
      </c>
      <c r="L93" s="21">
        <v>86800</v>
      </c>
      <c r="M93" s="94">
        <v>0.317005</v>
      </c>
      <c r="N93" s="19"/>
      <c r="O93" s="94">
        <f>K93</f>
        <v>0.452966</v>
      </c>
      <c r="P93" s="19"/>
      <c r="Q93" s="99">
        <f>K93*L93</f>
        <v>39317.4488</v>
      </c>
      <c r="R93" s="100">
        <f>M93*N93</f>
        <v>0</v>
      </c>
      <c r="S93" s="100">
        <f>O93*P93</f>
        <v>0</v>
      </c>
      <c r="U93" s="62"/>
    </row>
    <row r="94" spans="1:21" ht="12.75">
      <c r="A94" s="28"/>
      <c r="B94" s="68"/>
      <c r="C94" s="28"/>
      <c r="D94" s="28"/>
      <c r="E94" s="72"/>
      <c r="F94" s="28"/>
      <c r="G94" s="28"/>
      <c r="H94" s="68"/>
      <c r="I94" s="28"/>
      <c r="J94" s="68"/>
      <c r="K94" s="97"/>
      <c r="L94" s="68"/>
      <c r="M94" s="28"/>
      <c r="N94" s="68"/>
      <c r="O94" s="68"/>
      <c r="P94" s="68"/>
      <c r="Q94" s="99"/>
      <c r="R94" s="100"/>
      <c r="S94" s="100"/>
      <c r="U94" s="62"/>
    </row>
    <row r="95" spans="1:21" ht="12.75">
      <c r="A95" s="81"/>
      <c r="B95" s="83" t="s">
        <v>79</v>
      </c>
      <c r="C95" s="81"/>
      <c r="D95" s="81"/>
      <c r="E95" s="81"/>
      <c r="F95" s="81"/>
      <c r="G95" s="81"/>
      <c r="H95" s="82"/>
      <c r="I95" s="81"/>
      <c r="J95" s="82"/>
      <c r="K95" s="98"/>
      <c r="L95" s="82"/>
      <c r="M95" s="81"/>
      <c r="N95" s="82"/>
      <c r="O95" s="82"/>
      <c r="P95" s="82"/>
      <c r="Q95" s="82"/>
      <c r="R95" s="82"/>
      <c r="S95" s="70"/>
      <c r="U95" s="62"/>
    </row>
    <row r="96" spans="1:21" ht="12.75">
      <c r="A96" s="18">
        <v>20</v>
      </c>
      <c r="B96" s="19" t="s">
        <v>80</v>
      </c>
      <c r="C96" s="18" t="s">
        <v>81</v>
      </c>
      <c r="D96" s="18">
        <v>8</v>
      </c>
      <c r="E96" s="18">
        <v>5</v>
      </c>
      <c r="F96" s="93">
        <v>1</v>
      </c>
      <c r="G96" s="94">
        <f>1+F96*(0.2)</f>
        <v>1.2</v>
      </c>
      <c r="H96" s="94">
        <v>1</v>
      </c>
      <c r="I96" s="94">
        <f>G96*H96</f>
        <v>1.2</v>
      </c>
      <c r="J96" s="95">
        <f>I96*113</f>
        <v>135.6</v>
      </c>
      <c r="K96" s="94">
        <v>0.456077</v>
      </c>
      <c r="L96" s="21">
        <v>885000</v>
      </c>
      <c r="M96" s="94">
        <v>0.318679</v>
      </c>
      <c r="N96" s="43">
        <v>800000</v>
      </c>
      <c r="O96" s="94">
        <f>K96</f>
        <v>0.456077</v>
      </c>
      <c r="P96" s="43">
        <v>200000</v>
      </c>
      <c r="Q96" s="99">
        <f>K96*L96</f>
        <v>403628.145</v>
      </c>
      <c r="R96" s="100">
        <f>M96*N96</f>
        <v>254943.19999999998</v>
      </c>
      <c r="S96" s="100">
        <f>O96*P96</f>
        <v>91215.40000000001</v>
      </c>
      <c r="U96" s="62"/>
    </row>
    <row r="97" spans="1:21" ht="12.75">
      <c r="A97" s="18">
        <v>21</v>
      </c>
      <c r="B97" s="19" t="s">
        <v>82</v>
      </c>
      <c r="C97" s="18" t="s">
        <v>81</v>
      </c>
      <c r="D97" s="18">
        <v>8</v>
      </c>
      <c r="E97" s="18">
        <v>5</v>
      </c>
      <c r="F97" s="92">
        <v>1</v>
      </c>
      <c r="G97" s="86">
        <f>1+F97*(0.2)</f>
        <v>1.2</v>
      </c>
      <c r="H97" s="86">
        <v>1</v>
      </c>
      <c r="I97" s="86">
        <f>G97*H97</f>
        <v>1.2</v>
      </c>
      <c r="J97" s="95">
        <f>I97*113</f>
        <v>135.6</v>
      </c>
      <c r="K97" s="94">
        <v>0.456077</v>
      </c>
      <c r="L97" s="21">
        <v>446250</v>
      </c>
      <c r="M97" s="94">
        <v>0.318679</v>
      </c>
      <c r="N97" s="43">
        <v>300000</v>
      </c>
      <c r="O97" s="94">
        <f>K97</f>
        <v>0.456077</v>
      </c>
      <c r="P97" s="43">
        <v>150000</v>
      </c>
      <c r="Q97" s="99">
        <f>K97*L97</f>
        <v>203524.36125000002</v>
      </c>
      <c r="R97" s="100">
        <f>M97*N97</f>
        <v>95603.7</v>
      </c>
      <c r="S97" s="100">
        <f>O97*P97</f>
        <v>68411.55</v>
      </c>
      <c r="U97" s="62"/>
    </row>
    <row r="98" spans="1:21" ht="12.75">
      <c r="A98" s="18">
        <v>22</v>
      </c>
      <c r="B98" s="19" t="s">
        <v>83</v>
      </c>
      <c r="C98" s="18"/>
      <c r="D98" s="18">
        <v>8</v>
      </c>
      <c r="E98" s="18">
        <v>5</v>
      </c>
      <c r="F98" s="92">
        <v>1</v>
      </c>
      <c r="G98" s="86">
        <f>1+F98*(0.2)</f>
        <v>1.2</v>
      </c>
      <c r="H98" s="86">
        <v>1</v>
      </c>
      <c r="I98" s="86">
        <f>G98*H98</f>
        <v>1.2</v>
      </c>
      <c r="J98" s="95">
        <f>I98*113</f>
        <v>135.6</v>
      </c>
      <c r="K98" s="94">
        <v>0.456077</v>
      </c>
      <c r="L98" s="21">
        <v>66000</v>
      </c>
      <c r="M98" s="94">
        <v>0.318679</v>
      </c>
      <c r="N98" s="43">
        <v>300000</v>
      </c>
      <c r="O98" s="94">
        <f>K98</f>
        <v>0.456077</v>
      </c>
      <c r="P98" s="43">
        <v>150000</v>
      </c>
      <c r="Q98" s="99">
        <f>K98*L98</f>
        <v>30101.082000000002</v>
      </c>
      <c r="R98" s="100">
        <f>M98*N98</f>
        <v>95603.7</v>
      </c>
      <c r="S98" s="100">
        <f>O98*P98</f>
        <v>68411.55</v>
      </c>
      <c r="U98" s="62"/>
    </row>
    <row r="99" spans="1:21" ht="12.75">
      <c r="A99" s="18">
        <v>23</v>
      </c>
      <c r="B99" s="19" t="s">
        <v>84</v>
      </c>
      <c r="C99" s="18"/>
      <c r="D99" s="18">
        <v>8</v>
      </c>
      <c r="E99" s="18">
        <v>5</v>
      </c>
      <c r="F99" s="92">
        <v>1</v>
      </c>
      <c r="G99" s="86">
        <f>1+F99*(0.2)</f>
        <v>1.2</v>
      </c>
      <c r="H99" s="86">
        <v>1</v>
      </c>
      <c r="I99" s="86">
        <f>G99*H99</f>
        <v>1.2</v>
      </c>
      <c r="J99" s="95">
        <f>I99*113</f>
        <v>135.6</v>
      </c>
      <c r="K99" s="94">
        <v>0.456077</v>
      </c>
      <c r="L99" s="21">
        <v>562500</v>
      </c>
      <c r="M99" s="94">
        <v>0.318679</v>
      </c>
      <c r="N99" s="43">
        <v>80000</v>
      </c>
      <c r="O99" s="94">
        <f>K99</f>
        <v>0.456077</v>
      </c>
      <c r="P99" s="43">
        <v>10000</v>
      </c>
      <c r="Q99" s="99">
        <f>K99*L99</f>
        <v>256543.3125</v>
      </c>
      <c r="R99" s="100">
        <f>M99*N99</f>
        <v>25494.32</v>
      </c>
      <c r="S99" s="100">
        <f>O99*P99</f>
        <v>4560.77</v>
      </c>
      <c r="U99" s="62"/>
    </row>
    <row r="100" spans="1:21" ht="12.75">
      <c r="A100" s="18"/>
      <c r="B100" s="19"/>
      <c r="C100" s="18"/>
      <c r="D100" s="18"/>
      <c r="E100" s="18"/>
      <c r="F100" s="18"/>
      <c r="G100" s="18"/>
      <c r="H100" s="19"/>
      <c r="I100" s="18"/>
      <c r="J100" s="19"/>
      <c r="K100" s="18"/>
      <c r="L100" s="21"/>
      <c r="M100" s="18"/>
      <c r="N100" s="19"/>
      <c r="O100" s="19"/>
      <c r="P100" s="19"/>
      <c r="Q100" s="99"/>
      <c r="R100" s="100"/>
      <c r="S100" s="100"/>
      <c r="U100" s="62"/>
    </row>
    <row r="101" spans="1:21" ht="12.75">
      <c r="A101" s="18"/>
      <c r="B101" s="19"/>
      <c r="C101" s="18"/>
      <c r="D101" s="18"/>
      <c r="E101" s="18"/>
      <c r="F101" s="18"/>
      <c r="G101" s="18"/>
      <c r="H101" s="19"/>
      <c r="I101" s="18"/>
      <c r="J101" s="19"/>
      <c r="K101" s="18"/>
      <c r="L101" s="21"/>
      <c r="M101" s="18"/>
      <c r="N101" s="19"/>
      <c r="O101" s="19"/>
      <c r="P101" s="19"/>
      <c r="Q101" s="99"/>
      <c r="R101" s="100"/>
      <c r="S101" s="100"/>
      <c r="U101" s="62"/>
    </row>
    <row r="102" spans="1:21" ht="12.75">
      <c r="A102" s="18"/>
      <c r="B102" s="19"/>
      <c r="C102" s="18"/>
      <c r="D102" s="18"/>
      <c r="E102" s="18"/>
      <c r="F102" s="18"/>
      <c r="G102" s="18"/>
      <c r="H102" s="19"/>
      <c r="I102" s="18"/>
      <c r="J102" s="19"/>
      <c r="K102" s="18"/>
      <c r="L102" s="21"/>
      <c r="M102" s="18"/>
      <c r="N102" s="19"/>
      <c r="O102" s="19"/>
      <c r="P102" s="19"/>
      <c r="Q102" s="99"/>
      <c r="R102" s="100"/>
      <c r="S102" s="100"/>
      <c r="U102" s="62"/>
    </row>
    <row r="103" spans="1:21" ht="13.5" thickBot="1">
      <c r="A103" s="18"/>
      <c r="B103" s="19"/>
      <c r="C103" s="18"/>
      <c r="D103" s="18"/>
      <c r="E103" s="18"/>
      <c r="F103" s="18"/>
      <c r="G103" s="18"/>
      <c r="H103" s="19"/>
      <c r="I103" s="18"/>
      <c r="J103" s="19"/>
      <c r="K103" s="18"/>
      <c r="L103" s="19"/>
      <c r="M103" s="18"/>
      <c r="N103" s="19"/>
      <c r="O103" s="19"/>
      <c r="P103" s="19"/>
      <c r="Q103" s="99"/>
      <c r="R103" s="100"/>
      <c r="S103" s="100"/>
      <c r="U103" s="62"/>
    </row>
    <row r="104" spans="11:19" ht="13.5" thickBot="1">
      <c r="K104" s="112" t="s">
        <v>218</v>
      </c>
      <c r="L104" s="113">
        <f>SUM(L71:L103)</f>
        <v>7026600</v>
      </c>
      <c r="M104" s="24"/>
      <c r="N104" s="113">
        <f>SUM(N71:N103)</f>
        <v>1480000</v>
      </c>
      <c r="P104" s="113">
        <f>SUM(P71:P103)</f>
        <v>1815000</v>
      </c>
      <c r="Q104" s="113">
        <f>SUM(Q71:Q103)</f>
        <v>3162399.22702</v>
      </c>
      <c r="R104" s="113">
        <f>SUM(R71:R103)</f>
        <v>471644.92</v>
      </c>
      <c r="S104" s="113">
        <f>SUM(S71:S103)</f>
        <v>769260.9450000002</v>
      </c>
    </row>
    <row r="105" spans="11:14" ht="12.75">
      <c r="K105" s="24"/>
      <c r="L105" s="4"/>
      <c r="M105" s="24"/>
      <c r="N105" s="4"/>
    </row>
    <row r="106" spans="1:14" ht="12.75">
      <c r="A106" s="17" t="s">
        <v>88</v>
      </c>
      <c r="K106" s="24"/>
      <c r="L106" s="4"/>
      <c r="M106" s="24"/>
      <c r="N106" s="4"/>
    </row>
    <row r="107" spans="1:21" s="24" customFormat="1" ht="12">
      <c r="A107" s="18">
        <v>1</v>
      </c>
      <c r="B107" s="18">
        <v>2</v>
      </c>
      <c r="C107" s="18">
        <v>3</v>
      </c>
      <c r="D107" s="18">
        <v>4</v>
      </c>
      <c r="E107" s="18">
        <v>5</v>
      </c>
      <c r="F107" s="85" t="s">
        <v>204</v>
      </c>
      <c r="G107" s="85" t="s">
        <v>205</v>
      </c>
      <c r="H107" s="18" t="s">
        <v>206</v>
      </c>
      <c r="I107" s="18" t="s">
        <v>207</v>
      </c>
      <c r="J107" s="18">
        <v>6</v>
      </c>
      <c r="K107" s="18">
        <v>25</v>
      </c>
      <c r="L107" s="18">
        <v>26</v>
      </c>
      <c r="M107" s="18">
        <v>28</v>
      </c>
      <c r="N107" s="18">
        <v>29</v>
      </c>
      <c r="O107" s="18">
        <v>30</v>
      </c>
      <c r="P107" s="18">
        <v>31</v>
      </c>
      <c r="Q107" s="18">
        <v>32</v>
      </c>
      <c r="R107" s="18">
        <v>33</v>
      </c>
      <c r="S107" s="18">
        <v>34</v>
      </c>
      <c r="U107" s="62"/>
    </row>
    <row r="108" spans="1:21" ht="12">
      <c r="A108" s="2" t="s">
        <v>190</v>
      </c>
      <c r="B108" s="36" t="s">
        <v>13</v>
      </c>
      <c r="C108" s="33" t="s">
        <v>14</v>
      </c>
      <c r="D108" s="36" t="s">
        <v>176</v>
      </c>
      <c r="E108" s="33" t="s">
        <v>15</v>
      </c>
      <c r="F108" s="36" t="s">
        <v>208</v>
      </c>
      <c r="G108" s="36"/>
      <c r="H108" s="32"/>
      <c r="I108" s="36"/>
      <c r="J108" s="36" t="s">
        <v>191</v>
      </c>
      <c r="K108" s="36" t="s">
        <v>192</v>
      </c>
      <c r="L108" s="36" t="s">
        <v>16</v>
      </c>
      <c r="M108" s="36" t="s">
        <v>193</v>
      </c>
      <c r="N108" s="33" t="s">
        <v>17</v>
      </c>
      <c r="O108" s="36" t="s">
        <v>194</v>
      </c>
      <c r="P108" s="36" t="s">
        <v>195</v>
      </c>
      <c r="Q108" s="33" t="s">
        <v>196</v>
      </c>
      <c r="R108" s="36" t="s">
        <v>193</v>
      </c>
      <c r="S108" s="36" t="s">
        <v>197</v>
      </c>
      <c r="U108" s="32"/>
    </row>
    <row r="109" spans="1:21" ht="12">
      <c r="A109" s="61"/>
      <c r="B109" s="37"/>
      <c r="C109" s="32" t="s">
        <v>18</v>
      </c>
      <c r="D109" s="37" t="s">
        <v>198</v>
      </c>
      <c r="E109" s="32" t="s">
        <v>19</v>
      </c>
      <c r="F109" s="37"/>
      <c r="G109" s="37"/>
      <c r="H109" s="32"/>
      <c r="I109" s="37"/>
      <c r="J109" s="37" t="s">
        <v>199</v>
      </c>
      <c r="K109" s="37" t="s">
        <v>200</v>
      </c>
      <c r="L109" s="37" t="s">
        <v>20</v>
      </c>
      <c r="M109" s="37" t="s">
        <v>200</v>
      </c>
      <c r="N109" s="32" t="s">
        <v>20</v>
      </c>
      <c r="O109" s="37" t="s">
        <v>200</v>
      </c>
      <c r="P109" s="37" t="s">
        <v>20</v>
      </c>
      <c r="Q109" s="32" t="s">
        <v>200</v>
      </c>
      <c r="R109" s="37" t="s">
        <v>200</v>
      </c>
      <c r="S109" s="37" t="s">
        <v>200</v>
      </c>
      <c r="U109" s="32"/>
    </row>
    <row r="110" spans="1:21" ht="12.75">
      <c r="A110" s="63"/>
      <c r="B110" s="29"/>
      <c r="C110" s="64"/>
      <c r="D110" s="29"/>
      <c r="E110" s="64"/>
      <c r="F110" s="29"/>
      <c r="G110" s="64"/>
      <c r="H110" s="10"/>
      <c r="I110" s="29"/>
      <c r="J110" s="38" t="s">
        <v>201</v>
      </c>
      <c r="K110" s="38" t="s">
        <v>202</v>
      </c>
      <c r="L110" s="29"/>
      <c r="M110" s="38" t="s">
        <v>202</v>
      </c>
      <c r="N110" s="64"/>
      <c r="O110" s="38" t="s">
        <v>202</v>
      </c>
      <c r="P110" s="29"/>
      <c r="Q110" s="64" t="s">
        <v>203</v>
      </c>
      <c r="R110" s="38" t="s">
        <v>203</v>
      </c>
      <c r="S110" s="29" t="s">
        <v>203</v>
      </c>
      <c r="U110" s="62"/>
    </row>
    <row r="111" spans="1:21" ht="12.75">
      <c r="A111" s="19" t="s">
        <v>85</v>
      </c>
      <c r="B111" s="18" t="s">
        <v>11</v>
      </c>
      <c r="C111" s="18">
        <v>1972</v>
      </c>
      <c r="D111" s="18">
        <v>50</v>
      </c>
      <c r="E111" s="18">
        <v>0.75</v>
      </c>
      <c r="F111" s="29">
        <v>0.75</v>
      </c>
      <c r="G111" s="86">
        <f aca="true" t="shared" si="28" ref="G111:G140">1+F111*(0.2)</f>
        <v>1.15</v>
      </c>
      <c r="H111" s="86">
        <v>1</v>
      </c>
      <c r="I111" s="86">
        <f aca="true" t="shared" si="29" ref="I111:I140">G111*H111</f>
        <v>1.15</v>
      </c>
      <c r="J111" s="95">
        <f aca="true" t="shared" si="30" ref="J111:J140">I111*113</f>
        <v>129.95</v>
      </c>
      <c r="K111" s="94">
        <v>0.604836</v>
      </c>
      <c r="L111" s="39">
        <v>1625925</v>
      </c>
      <c r="M111" s="94">
        <v>0.153965</v>
      </c>
      <c r="N111" s="19"/>
      <c r="O111" s="94">
        <f aca="true" t="shared" si="31" ref="O111:O140">K111</f>
        <v>0.604836</v>
      </c>
      <c r="P111" s="19"/>
      <c r="Q111" s="99">
        <f aca="true" t="shared" si="32" ref="Q111:Q140">K111*L111</f>
        <v>983417.9733000001</v>
      </c>
      <c r="R111" s="100">
        <f aca="true" t="shared" si="33" ref="R111:R140">M111*N111</f>
        <v>0</v>
      </c>
      <c r="S111" s="100">
        <f aca="true" t="shared" si="34" ref="S111:S140">O111*P111</f>
        <v>0</v>
      </c>
      <c r="U111" s="62"/>
    </row>
    <row r="112" spans="1:21" ht="12.75">
      <c r="A112" s="19" t="s">
        <v>85</v>
      </c>
      <c r="B112" s="18" t="s">
        <v>11</v>
      </c>
      <c r="C112" s="18">
        <v>1978</v>
      </c>
      <c r="D112" s="18">
        <v>50</v>
      </c>
      <c r="E112" s="18">
        <v>0.75</v>
      </c>
      <c r="F112" s="29">
        <v>0.75</v>
      </c>
      <c r="G112" s="86">
        <f t="shared" si="28"/>
        <v>1.15</v>
      </c>
      <c r="H112" s="86">
        <v>1</v>
      </c>
      <c r="I112" s="86">
        <f t="shared" si="29"/>
        <v>1.15</v>
      </c>
      <c r="J112" s="95">
        <f t="shared" si="30"/>
        <v>129.95</v>
      </c>
      <c r="K112" s="94">
        <v>0.604836</v>
      </c>
      <c r="L112" s="39">
        <v>1050000</v>
      </c>
      <c r="M112" s="94">
        <v>0.153965</v>
      </c>
      <c r="N112" s="19"/>
      <c r="O112" s="94">
        <f t="shared" si="31"/>
        <v>0.604836</v>
      </c>
      <c r="P112" s="19"/>
      <c r="Q112" s="99">
        <f t="shared" si="32"/>
        <v>635077.8</v>
      </c>
      <c r="R112" s="100">
        <f t="shared" si="33"/>
        <v>0</v>
      </c>
      <c r="S112" s="100">
        <f t="shared" si="34"/>
        <v>0</v>
      </c>
      <c r="U112" s="62"/>
    </row>
    <row r="113" spans="1:21" ht="12.75">
      <c r="A113" s="19"/>
      <c r="B113" s="18" t="s">
        <v>11</v>
      </c>
      <c r="C113" s="18"/>
      <c r="D113" s="18"/>
      <c r="E113" s="18"/>
      <c r="F113" s="29">
        <v>0.75</v>
      </c>
      <c r="G113" s="86">
        <f t="shared" si="28"/>
        <v>1.15</v>
      </c>
      <c r="H113" s="86">
        <v>1</v>
      </c>
      <c r="I113" s="86">
        <f t="shared" si="29"/>
        <v>1.15</v>
      </c>
      <c r="J113" s="95">
        <f t="shared" si="30"/>
        <v>129.95</v>
      </c>
      <c r="K113" s="94">
        <v>0.397775</v>
      </c>
      <c r="L113" s="39">
        <v>1050000</v>
      </c>
      <c r="M113" s="94">
        <v>0.055978</v>
      </c>
      <c r="N113" s="19"/>
      <c r="O113" s="94">
        <f t="shared" si="31"/>
        <v>0.397775</v>
      </c>
      <c r="P113" s="19"/>
      <c r="Q113" s="99">
        <f t="shared" si="32"/>
        <v>417663.75</v>
      </c>
      <c r="R113" s="100">
        <f t="shared" si="33"/>
        <v>0</v>
      </c>
      <c r="S113" s="100">
        <f t="shared" si="34"/>
        <v>0</v>
      </c>
      <c r="U113" s="62"/>
    </row>
    <row r="114" spans="1:21" ht="12.75">
      <c r="A114" s="19" t="s">
        <v>85</v>
      </c>
      <c r="B114" s="18" t="s">
        <v>11</v>
      </c>
      <c r="C114" s="18">
        <v>1972</v>
      </c>
      <c r="D114" s="18"/>
      <c r="E114" s="18"/>
      <c r="F114" s="29">
        <v>0.75</v>
      </c>
      <c r="G114" s="86">
        <f t="shared" si="28"/>
        <v>1.15</v>
      </c>
      <c r="H114" s="86">
        <v>1</v>
      </c>
      <c r="I114" s="86">
        <f t="shared" si="29"/>
        <v>1.15</v>
      </c>
      <c r="J114" s="95">
        <f t="shared" si="30"/>
        <v>129.95</v>
      </c>
      <c r="K114" s="94">
        <v>0.397775</v>
      </c>
      <c r="L114" s="39">
        <v>1050000</v>
      </c>
      <c r="M114" s="94">
        <v>0.055978</v>
      </c>
      <c r="N114" s="19"/>
      <c r="O114" s="94">
        <f t="shared" si="31"/>
        <v>0.397775</v>
      </c>
      <c r="P114" s="19"/>
      <c r="Q114" s="99">
        <f t="shared" si="32"/>
        <v>417663.75</v>
      </c>
      <c r="R114" s="100">
        <f t="shared" si="33"/>
        <v>0</v>
      </c>
      <c r="S114" s="100">
        <f t="shared" si="34"/>
        <v>0</v>
      </c>
      <c r="U114" s="62"/>
    </row>
    <row r="115" spans="1:21" ht="12.75">
      <c r="A115" s="19"/>
      <c r="B115" s="18" t="s">
        <v>11</v>
      </c>
      <c r="C115" s="18">
        <v>1982</v>
      </c>
      <c r="D115" s="18"/>
      <c r="E115" s="18"/>
      <c r="F115" s="29">
        <v>0.75</v>
      </c>
      <c r="G115" s="86">
        <f t="shared" si="28"/>
        <v>1.15</v>
      </c>
      <c r="H115" s="86">
        <v>1</v>
      </c>
      <c r="I115" s="86">
        <f t="shared" si="29"/>
        <v>1.15</v>
      </c>
      <c r="J115" s="95">
        <f t="shared" si="30"/>
        <v>129.95</v>
      </c>
      <c r="K115" s="94">
        <v>0.397775</v>
      </c>
      <c r="L115" s="39">
        <v>380000</v>
      </c>
      <c r="M115" s="94">
        <v>0.055978</v>
      </c>
      <c r="N115" s="19"/>
      <c r="O115" s="94">
        <f t="shared" si="31"/>
        <v>0.397775</v>
      </c>
      <c r="P115" s="19"/>
      <c r="Q115" s="99">
        <f t="shared" si="32"/>
        <v>151154.5</v>
      </c>
      <c r="R115" s="100">
        <f t="shared" si="33"/>
        <v>0</v>
      </c>
      <c r="S115" s="100">
        <f t="shared" si="34"/>
        <v>0</v>
      </c>
      <c r="U115" s="62"/>
    </row>
    <row r="116" spans="1:21" ht="12.75">
      <c r="A116" s="19"/>
      <c r="B116" s="18" t="s">
        <v>11</v>
      </c>
      <c r="C116" s="18">
        <v>1982</v>
      </c>
      <c r="D116" s="18"/>
      <c r="E116" s="18"/>
      <c r="F116" s="29">
        <v>0.75</v>
      </c>
      <c r="G116" s="86">
        <f t="shared" si="28"/>
        <v>1.15</v>
      </c>
      <c r="H116" s="86">
        <v>1</v>
      </c>
      <c r="I116" s="86">
        <f t="shared" si="29"/>
        <v>1.15</v>
      </c>
      <c r="J116" s="95">
        <f t="shared" si="30"/>
        <v>129.95</v>
      </c>
      <c r="K116" s="94">
        <v>0.397775</v>
      </c>
      <c r="L116" s="39">
        <v>882000</v>
      </c>
      <c r="M116" s="94">
        <v>0.055978</v>
      </c>
      <c r="N116" s="19"/>
      <c r="O116" s="94">
        <f t="shared" si="31"/>
        <v>0.397775</v>
      </c>
      <c r="P116" s="19"/>
      <c r="Q116" s="99">
        <f t="shared" si="32"/>
        <v>350837.55</v>
      </c>
      <c r="R116" s="100">
        <f t="shared" si="33"/>
        <v>0</v>
      </c>
      <c r="S116" s="100">
        <f t="shared" si="34"/>
        <v>0</v>
      </c>
      <c r="U116" s="62"/>
    </row>
    <row r="117" spans="1:21" ht="12.75">
      <c r="A117" s="19"/>
      <c r="B117" s="18" t="s">
        <v>11</v>
      </c>
      <c r="C117" s="18">
        <v>1972</v>
      </c>
      <c r="D117" s="18"/>
      <c r="E117" s="18"/>
      <c r="F117" s="29">
        <v>0.75</v>
      </c>
      <c r="G117" s="86">
        <f t="shared" si="28"/>
        <v>1.15</v>
      </c>
      <c r="H117" s="86">
        <v>1</v>
      </c>
      <c r="I117" s="86">
        <f t="shared" si="29"/>
        <v>1.15</v>
      </c>
      <c r="J117" s="95">
        <f t="shared" si="30"/>
        <v>129.95</v>
      </c>
      <c r="K117" s="94">
        <v>0.397775</v>
      </c>
      <c r="L117" s="39">
        <v>1097775</v>
      </c>
      <c r="M117" s="94">
        <v>0.055978</v>
      </c>
      <c r="N117" s="19"/>
      <c r="O117" s="94">
        <f t="shared" si="31"/>
        <v>0.397775</v>
      </c>
      <c r="P117" s="19"/>
      <c r="Q117" s="99">
        <f t="shared" si="32"/>
        <v>436667.450625</v>
      </c>
      <c r="R117" s="100">
        <f t="shared" si="33"/>
        <v>0</v>
      </c>
      <c r="S117" s="100">
        <f t="shared" si="34"/>
        <v>0</v>
      </c>
      <c r="U117" s="62"/>
    </row>
    <row r="118" spans="1:21" ht="12.75">
      <c r="A118" s="19"/>
      <c r="B118" s="18" t="s">
        <v>86</v>
      </c>
      <c r="C118" s="18">
        <v>1977</v>
      </c>
      <c r="D118" s="18"/>
      <c r="E118" s="18"/>
      <c r="F118" s="29">
        <v>0.75</v>
      </c>
      <c r="G118" s="86">
        <f t="shared" si="28"/>
        <v>1.15</v>
      </c>
      <c r="H118" s="86">
        <v>1</v>
      </c>
      <c r="I118" s="86">
        <f t="shared" si="29"/>
        <v>1.15</v>
      </c>
      <c r="J118" s="95">
        <f t="shared" si="30"/>
        <v>129.95</v>
      </c>
      <c r="K118" s="94">
        <v>0.397775</v>
      </c>
      <c r="L118" s="39">
        <v>1449000</v>
      </c>
      <c r="M118" s="94">
        <v>0.055978</v>
      </c>
      <c r="N118" s="19"/>
      <c r="O118" s="94">
        <f t="shared" si="31"/>
        <v>0.397775</v>
      </c>
      <c r="P118" s="19"/>
      <c r="Q118" s="99">
        <f t="shared" si="32"/>
        <v>576375.975</v>
      </c>
      <c r="R118" s="100">
        <f t="shared" si="33"/>
        <v>0</v>
      </c>
      <c r="S118" s="100">
        <f t="shared" si="34"/>
        <v>0</v>
      </c>
      <c r="U118" s="62"/>
    </row>
    <row r="119" spans="1:21" ht="12.75">
      <c r="A119" s="19"/>
      <c r="B119" s="18" t="s">
        <v>86</v>
      </c>
      <c r="C119" s="18">
        <v>1972</v>
      </c>
      <c r="D119" s="18"/>
      <c r="E119" s="18"/>
      <c r="F119" s="29">
        <v>0.75</v>
      </c>
      <c r="G119" s="86">
        <f t="shared" si="28"/>
        <v>1.15</v>
      </c>
      <c r="H119" s="86">
        <v>1</v>
      </c>
      <c r="I119" s="86">
        <f t="shared" si="29"/>
        <v>1.15</v>
      </c>
      <c r="J119" s="95">
        <f t="shared" si="30"/>
        <v>129.95</v>
      </c>
      <c r="K119" s="94">
        <v>0.397775</v>
      </c>
      <c r="L119" s="39">
        <v>970200</v>
      </c>
      <c r="M119" s="94">
        <v>0.055978</v>
      </c>
      <c r="N119" s="19"/>
      <c r="O119" s="94">
        <f t="shared" si="31"/>
        <v>0.397775</v>
      </c>
      <c r="P119" s="19"/>
      <c r="Q119" s="99">
        <f t="shared" si="32"/>
        <v>385921.305</v>
      </c>
      <c r="R119" s="100">
        <f t="shared" si="33"/>
        <v>0</v>
      </c>
      <c r="S119" s="100">
        <f t="shared" si="34"/>
        <v>0</v>
      </c>
      <c r="U119" s="62"/>
    </row>
    <row r="120" spans="1:21" ht="12.75">
      <c r="A120" s="19"/>
      <c r="B120" s="18" t="s">
        <v>86</v>
      </c>
      <c r="C120" s="18">
        <v>1984</v>
      </c>
      <c r="D120" s="18"/>
      <c r="E120" s="18"/>
      <c r="F120" s="29">
        <v>0.75</v>
      </c>
      <c r="G120" s="86">
        <f t="shared" si="28"/>
        <v>1.15</v>
      </c>
      <c r="H120" s="86">
        <v>1</v>
      </c>
      <c r="I120" s="86">
        <f t="shared" si="29"/>
        <v>1.15</v>
      </c>
      <c r="J120" s="95">
        <f t="shared" si="30"/>
        <v>129.95</v>
      </c>
      <c r="K120" s="94">
        <v>0.397775</v>
      </c>
      <c r="L120" s="39">
        <v>1029000</v>
      </c>
      <c r="M120" s="94">
        <v>0.055978</v>
      </c>
      <c r="N120" s="19"/>
      <c r="O120" s="94">
        <f t="shared" si="31"/>
        <v>0.397775</v>
      </c>
      <c r="P120" s="19"/>
      <c r="Q120" s="99">
        <f t="shared" si="32"/>
        <v>409310.475</v>
      </c>
      <c r="R120" s="100">
        <f t="shared" si="33"/>
        <v>0</v>
      </c>
      <c r="S120" s="100">
        <f t="shared" si="34"/>
        <v>0</v>
      </c>
      <c r="U120" s="62"/>
    </row>
    <row r="121" spans="1:21" ht="12.75">
      <c r="A121" s="19"/>
      <c r="B121" s="18" t="s">
        <v>86</v>
      </c>
      <c r="C121" s="18">
        <v>1984</v>
      </c>
      <c r="D121" s="18"/>
      <c r="E121" s="18"/>
      <c r="F121" s="29">
        <v>0.75</v>
      </c>
      <c r="G121" s="86">
        <f t="shared" si="28"/>
        <v>1.15</v>
      </c>
      <c r="H121" s="86">
        <v>1</v>
      </c>
      <c r="I121" s="86">
        <f t="shared" si="29"/>
        <v>1.15</v>
      </c>
      <c r="J121" s="95">
        <f t="shared" si="30"/>
        <v>129.95</v>
      </c>
      <c r="K121" s="94">
        <v>0.397775</v>
      </c>
      <c r="L121" s="39">
        <v>189000</v>
      </c>
      <c r="M121" s="94">
        <v>0.055978</v>
      </c>
      <c r="N121" s="19"/>
      <c r="O121" s="94">
        <f t="shared" si="31"/>
        <v>0.397775</v>
      </c>
      <c r="P121" s="19"/>
      <c r="Q121" s="99">
        <f t="shared" si="32"/>
        <v>75179.47499999999</v>
      </c>
      <c r="R121" s="100">
        <f t="shared" si="33"/>
        <v>0</v>
      </c>
      <c r="S121" s="100">
        <f t="shared" si="34"/>
        <v>0</v>
      </c>
      <c r="U121" s="62"/>
    </row>
    <row r="122" spans="1:21" ht="12.75">
      <c r="A122" s="19"/>
      <c r="B122" s="18" t="s">
        <v>10</v>
      </c>
      <c r="C122" s="18">
        <v>1987</v>
      </c>
      <c r="D122" s="18"/>
      <c r="E122" s="18"/>
      <c r="F122" s="29">
        <v>0.75</v>
      </c>
      <c r="G122" s="86">
        <f t="shared" si="28"/>
        <v>1.15</v>
      </c>
      <c r="H122" s="86">
        <v>1</v>
      </c>
      <c r="I122" s="86">
        <f t="shared" si="29"/>
        <v>1.15</v>
      </c>
      <c r="J122" s="95">
        <f t="shared" si="30"/>
        <v>129.95</v>
      </c>
      <c r="K122" s="94">
        <v>0.397775</v>
      </c>
      <c r="L122" s="39">
        <v>1638000</v>
      </c>
      <c r="M122" s="94">
        <v>0.055978</v>
      </c>
      <c r="N122" s="19"/>
      <c r="O122" s="94">
        <f t="shared" si="31"/>
        <v>0.397775</v>
      </c>
      <c r="P122" s="19"/>
      <c r="Q122" s="99">
        <f t="shared" si="32"/>
        <v>651555.45</v>
      </c>
      <c r="R122" s="100">
        <f t="shared" si="33"/>
        <v>0</v>
      </c>
      <c r="S122" s="100">
        <f t="shared" si="34"/>
        <v>0</v>
      </c>
      <c r="U122" s="62"/>
    </row>
    <row r="123" spans="1:21" ht="12.75">
      <c r="A123" s="19"/>
      <c r="B123" s="18" t="s">
        <v>10</v>
      </c>
      <c r="C123" s="18">
        <v>1973</v>
      </c>
      <c r="D123" s="18"/>
      <c r="E123" s="18"/>
      <c r="F123" s="29">
        <v>0.75</v>
      </c>
      <c r="G123" s="86">
        <f t="shared" si="28"/>
        <v>1.15</v>
      </c>
      <c r="H123" s="86">
        <v>1</v>
      </c>
      <c r="I123" s="86">
        <f t="shared" si="29"/>
        <v>1.15</v>
      </c>
      <c r="J123" s="95">
        <f t="shared" si="30"/>
        <v>129.95</v>
      </c>
      <c r="K123" s="94">
        <v>0.397775</v>
      </c>
      <c r="L123" s="39">
        <v>630000</v>
      </c>
      <c r="M123" s="94">
        <v>0.055978</v>
      </c>
      <c r="N123" s="19"/>
      <c r="O123" s="94">
        <f t="shared" si="31"/>
        <v>0.397775</v>
      </c>
      <c r="P123" s="19"/>
      <c r="Q123" s="99">
        <f t="shared" si="32"/>
        <v>250598.25</v>
      </c>
      <c r="R123" s="100">
        <f t="shared" si="33"/>
        <v>0</v>
      </c>
      <c r="S123" s="100">
        <f t="shared" si="34"/>
        <v>0</v>
      </c>
      <c r="U123" s="62"/>
    </row>
    <row r="124" spans="1:21" ht="12.75">
      <c r="A124" s="19"/>
      <c r="B124" s="18" t="s">
        <v>10</v>
      </c>
      <c r="C124" s="18">
        <v>1973</v>
      </c>
      <c r="D124" s="18"/>
      <c r="E124" s="18"/>
      <c r="F124" s="29">
        <v>0.75</v>
      </c>
      <c r="G124" s="86">
        <f t="shared" si="28"/>
        <v>1.15</v>
      </c>
      <c r="H124" s="86">
        <v>1</v>
      </c>
      <c r="I124" s="86">
        <f t="shared" si="29"/>
        <v>1.15</v>
      </c>
      <c r="J124" s="95">
        <f t="shared" si="30"/>
        <v>129.95</v>
      </c>
      <c r="K124" s="94">
        <v>0.397775</v>
      </c>
      <c r="L124" s="39">
        <v>1050000</v>
      </c>
      <c r="M124" s="94">
        <v>0.055978</v>
      </c>
      <c r="N124" s="19"/>
      <c r="O124" s="94">
        <f t="shared" si="31"/>
        <v>0.397775</v>
      </c>
      <c r="P124" s="19"/>
      <c r="Q124" s="99">
        <f t="shared" si="32"/>
        <v>417663.75</v>
      </c>
      <c r="R124" s="100">
        <f t="shared" si="33"/>
        <v>0</v>
      </c>
      <c r="S124" s="100">
        <f t="shared" si="34"/>
        <v>0</v>
      </c>
      <c r="U124" s="62"/>
    </row>
    <row r="125" spans="1:21" ht="12.75">
      <c r="A125" s="19"/>
      <c r="B125" s="18" t="s">
        <v>10</v>
      </c>
      <c r="C125" s="18">
        <v>1984</v>
      </c>
      <c r="D125" s="18"/>
      <c r="E125" s="18"/>
      <c r="F125" s="29">
        <v>0.75</v>
      </c>
      <c r="G125" s="86">
        <f t="shared" si="28"/>
        <v>1.15</v>
      </c>
      <c r="H125" s="86">
        <v>1</v>
      </c>
      <c r="I125" s="86">
        <f t="shared" si="29"/>
        <v>1.15</v>
      </c>
      <c r="J125" s="95">
        <f t="shared" si="30"/>
        <v>129.95</v>
      </c>
      <c r="K125" s="94">
        <v>0.397775</v>
      </c>
      <c r="L125" s="39">
        <v>735000</v>
      </c>
      <c r="M125" s="94">
        <v>0.055978</v>
      </c>
      <c r="N125" s="19"/>
      <c r="O125" s="94">
        <f t="shared" si="31"/>
        <v>0.397775</v>
      </c>
      <c r="P125" s="19"/>
      <c r="Q125" s="99">
        <f t="shared" si="32"/>
        <v>292364.625</v>
      </c>
      <c r="R125" s="100">
        <f t="shared" si="33"/>
        <v>0</v>
      </c>
      <c r="S125" s="100">
        <f t="shared" si="34"/>
        <v>0</v>
      </c>
      <c r="U125" s="62"/>
    </row>
    <row r="126" spans="1:21" ht="12.75">
      <c r="A126" s="19"/>
      <c r="B126" s="18" t="s">
        <v>10</v>
      </c>
      <c r="C126" s="18">
        <v>1973</v>
      </c>
      <c r="D126" s="18"/>
      <c r="E126" s="18"/>
      <c r="F126" s="29">
        <v>0.75</v>
      </c>
      <c r="G126" s="86">
        <f t="shared" si="28"/>
        <v>1.15</v>
      </c>
      <c r="H126" s="86">
        <v>1</v>
      </c>
      <c r="I126" s="86">
        <f t="shared" si="29"/>
        <v>1.15</v>
      </c>
      <c r="J126" s="95">
        <f t="shared" si="30"/>
        <v>129.95</v>
      </c>
      <c r="K126" s="94">
        <v>0.397775</v>
      </c>
      <c r="L126" s="39">
        <v>1050000</v>
      </c>
      <c r="M126" s="94">
        <v>0.055978</v>
      </c>
      <c r="N126" s="19"/>
      <c r="O126" s="94">
        <f t="shared" si="31"/>
        <v>0.397775</v>
      </c>
      <c r="P126" s="19"/>
      <c r="Q126" s="99">
        <f t="shared" si="32"/>
        <v>417663.75</v>
      </c>
      <c r="R126" s="100">
        <f t="shared" si="33"/>
        <v>0</v>
      </c>
      <c r="S126" s="100">
        <f t="shared" si="34"/>
        <v>0</v>
      </c>
      <c r="U126" s="62"/>
    </row>
    <row r="127" spans="1:21" ht="12.75">
      <c r="A127" s="19"/>
      <c r="B127" s="18" t="s">
        <v>10</v>
      </c>
      <c r="C127" s="18">
        <v>1973</v>
      </c>
      <c r="D127" s="18"/>
      <c r="E127" s="18"/>
      <c r="F127" s="29">
        <v>0.75</v>
      </c>
      <c r="G127" s="86">
        <f t="shared" si="28"/>
        <v>1.15</v>
      </c>
      <c r="H127" s="86">
        <v>1</v>
      </c>
      <c r="I127" s="86">
        <f t="shared" si="29"/>
        <v>1.15</v>
      </c>
      <c r="J127" s="95">
        <f t="shared" si="30"/>
        <v>129.95</v>
      </c>
      <c r="K127" s="94">
        <v>0.397775</v>
      </c>
      <c r="L127" s="39">
        <v>525000</v>
      </c>
      <c r="M127" s="94">
        <v>0.055978</v>
      </c>
      <c r="N127" s="19"/>
      <c r="O127" s="94">
        <f t="shared" si="31"/>
        <v>0.397775</v>
      </c>
      <c r="P127" s="19"/>
      <c r="Q127" s="99">
        <f t="shared" si="32"/>
        <v>208831.875</v>
      </c>
      <c r="R127" s="100">
        <f t="shared" si="33"/>
        <v>0</v>
      </c>
      <c r="S127" s="100">
        <f t="shared" si="34"/>
        <v>0</v>
      </c>
      <c r="U127" s="62"/>
    </row>
    <row r="128" spans="1:21" ht="12.75">
      <c r="A128" s="19"/>
      <c r="B128" s="18" t="s">
        <v>10</v>
      </c>
      <c r="C128" s="18">
        <v>1973</v>
      </c>
      <c r="D128" s="18"/>
      <c r="E128" s="18"/>
      <c r="F128" s="29">
        <v>0.75</v>
      </c>
      <c r="G128" s="86">
        <f t="shared" si="28"/>
        <v>1.15</v>
      </c>
      <c r="H128" s="86">
        <v>1</v>
      </c>
      <c r="I128" s="86">
        <f t="shared" si="29"/>
        <v>1.15</v>
      </c>
      <c r="J128" s="95">
        <f t="shared" si="30"/>
        <v>129.95</v>
      </c>
      <c r="K128" s="94">
        <v>0.397775</v>
      </c>
      <c r="L128" s="39">
        <v>525000</v>
      </c>
      <c r="M128" s="94">
        <v>0.055978</v>
      </c>
      <c r="N128" s="19"/>
      <c r="O128" s="94">
        <f t="shared" si="31"/>
        <v>0.397775</v>
      </c>
      <c r="P128" s="19"/>
      <c r="Q128" s="99">
        <f t="shared" si="32"/>
        <v>208831.875</v>
      </c>
      <c r="R128" s="100">
        <f t="shared" si="33"/>
        <v>0</v>
      </c>
      <c r="S128" s="100">
        <f t="shared" si="34"/>
        <v>0</v>
      </c>
      <c r="U128" s="62"/>
    </row>
    <row r="129" spans="1:21" ht="12.75">
      <c r="A129" s="19"/>
      <c r="B129" s="18" t="s">
        <v>10</v>
      </c>
      <c r="C129" s="18">
        <v>1984</v>
      </c>
      <c r="D129" s="18"/>
      <c r="E129" s="18"/>
      <c r="F129" s="29">
        <v>0.75</v>
      </c>
      <c r="G129" s="86">
        <f t="shared" si="28"/>
        <v>1.15</v>
      </c>
      <c r="H129" s="86">
        <v>1</v>
      </c>
      <c r="I129" s="86">
        <f t="shared" si="29"/>
        <v>1.15</v>
      </c>
      <c r="J129" s="95">
        <f t="shared" si="30"/>
        <v>129.95</v>
      </c>
      <c r="K129" s="94">
        <v>0.397775</v>
      </c>
      <c r="L129" s="39">
        <v>882000</v>
      </c>
      <c r="M129" s="94">
        <v>0.055978</v>
      </c>
      <c r="N129" s="19"/>
      <c r="O129" s="94">
        <f t="shared" si="31"/>
        <v>0.397775</v>
      </c>
      <c r="P129" s="19"/>
      <c r="Q129" s="99">
        <f t="shared" si="32"/>
        <v>350837.55</v>
      </c>
      <c r="R129" s="100">
        <f t="shared" si="33"/>
        <v>0</v>
      </c>
      <c r="S129" s="100">
        <f t="shared" si="34"/>
        <v>0</v>
      </c>
      <c r="U129" s="62"/>
    </row>
    <row r="130" spans="1:21" ht="12.75">
      <c r="A130" s="19"/>
      <c r="B130" s="18" t="s">
        <v>10</v>
      </c>
      <c r="C130" s="18">
        <v>1984</v>
      </c>
      <c r="D130" s="18"/>
      <c r="E130" s="18"/>
      <c r="F130" s="29">
        <v>0.75</v>
      </c>
      <c r="G130" s="86">
        <f t="shared" si="28"/>
        <v>1.15</v>
      </c>
      <c r="H130" s="86">
        <v>1</v>
      </c>
      <c r="I130" s="86">
        <f t="shared" si="29"/>
        <v>1.15</v>
      </c>
      <c r="J130" s="95">
        <f t="shared" si="30"/>
        <v>129.95</v>
      </c>
      <c r="K130" s="94">
        <v>0.397775</v>
      </c>
      <c r="L130" s="39">
        <v>1008000</v>
      </c>
      <c r="M130" s="94">
        <v>0.055978</v>
      </c>
      <c r="N130" s="19"/>
      <c r="O130" s="94">
        <f t="shared" si="31"/>
        <v>0.397775</v>
      </c>
      <c r="P130" s="19"/>
      <c r="Q130" s="99">
        <f t="shared" si="32"/>
        <v>400957.2</v>
      </c>
      <c r="R130" s="100">
        <f t="shared" si="33"/>
        <v>0</v>
      </c>
      <c r="S130" s="100">
        <f t="shared" si="34"/>
        <v>0</v>
      </c>
      <c r="U130" s="62"/>
    </row>
    <row r="131" spans="1:21" ht="12.75">
      <c r="A131" s="19"/>
      <c r="B131" s="18" t="s">
        <v>10</v>
      </c>
      <c r="C131" s="18">
        <v>1988</v>
      </c>
      <c r="D131" s="18"/>
      <c r="E131" s="18"/>
      <c r="F131" s="29">
        <v>0.75</v>
      </c>
      <c r="G131" s="86">
        <f t="shared" si="28"/>
        <v>1.15</v>
      </c>
      <c r="H131" s="86">
        <v>1</v>
      </c>
      <c r="I131" s="86">
        <f t="shared" si="29"/>
        <v>1.15</v>
      </c>
      <c r="J131" s="95">
        <f t="shared" si="30"/>
        <v>129.95</v>
      </c>
      <c r="K131" s="94">
        <v>0.397775</v>
      </c>
      <c r="L131" s="39">
        <v>1050000</v>
      </c>
      <c r="M131" s="94">
        <v>0.055978</v>
      </c>
      <c r="N131" s="19"/>
      <c r="O131" s="94">
        <f t="shared" si="31"/>
        <v>0.397775</v>
      </c>
      <c r="P131" s="19"/>
      <c r="Q131" s="99">
        <f t="shared" si="32"/>
        <v>417663.75</v>
      </c>
      <c r="R131" s="100">
        <f t="shared" si="33"/>
        <v>0</v>
      </c>
      <c r="S131" s="100">
        <f t="shared" si="34"/>
        <v>0</v>
      </c>
      <c r="U131" s="62"/>
    </row>
    <row r="132" spans="1:21" ht="12.75">
      <c r="A132" s="19"/>
      <c r="B132" s="18" t="s">
        <v>10</v>
      </c>
      <c r="C132" s="18">
        <v>1988</v>
      </c>
      <c r="D132" s="18"/>
      <c r="E132" s="18"/>
      <c r="F132" s="29">
        <v>0.75</v>
      </c>
      <c r="G132" s="86">
        <f t="shared" si="28"/>
        <v>1.15</v>
      </c>
      <c r="H132" s="86">
        <v>1</v>
      </c>
      <c r="I132" s="86">
        <f t="shared" si="29"/>
        <v>1.15</v>
      </c>
      <c r="J132" s="95">
        <f t="shared" si="30"/>
        <v>129.95</v>
      </c>
      <c r="K132" s="94">
        <v>0.397775</v>
      </c>
      <c r="L132" s="39">
        <v>1029000</v>
      </c>
      <c r="M132" s="94">
        <v>0.055978</v>
      </c>
      <c r="N132" s="19"/>
      <c r="O132" s="94">
        <f t="shared" si="31"/>
        <v>0.397775</v>
      </c>
      <c r="P132" s="19"/>
      <c r="Q132" s="99">
        <f t="shared" si="32"/>
        <v>409310.475</v>
      </c>
      <c r="R132" s="100">
        <f t="shared" si="33"/>
        <v>0</v>
      </c>
      <c r="S132" s="100">
        <f t="shared" si="34"/>
        <v>0</v>
      </c>
      <c r="U132" s="62"/>
    </row>
    <row r="133" spans="1:21" ht="12.75">
      <c r="A133" s="19"/>
      <c r="B133" s="18" t="s">
        <v>10</v>
      </c>
      <c r="C133" s="18">
        <v>1988</v>
      </c>
      <c r="D133" s="18"/>
      <c r="E133" s="18"/>
      <c r="F133" s="29">
        <v>0.75</v>
      </c>
      <c r="G133" s="86">
        <f t="shared" si="28"/>
        <v>1.15</v>
      </c>
      <c r="H133" s="86">
        <v>1</v>
      </c>
      <c r="I133" s="86">
        <f t="shared" si="29"/>
        <v>1.15</v>
      </c>
      <c r="J133" s="95">
        <f t="shared" si="30"/>
        <v>129.95</v>
      </c>
      <c r="K133" s="94">
        <v>0.397775</v>
      </c>
      <c r="L133" s="39">
        <v>1029000</v>
      </c>
      <c r="M133" s="94">
        <v>0.055978</v>
      </c>
      <c r="N133" s="19"/>
      <c r="O133" s="94">
        <f t="shared" si="31"/>
        <v>0.397775</v>
      </c>
      <c r="P133" s="19"/>
      <c r="Q133" s="99">
        <f t="shared" si="32"/>
        <v>409310.475</v>
      </c>
      <c r="R133" s="100">
        <f t="shared" si="33"/>
        <v>0</v>
      </c>
      <c r="S133" s="100">
        <f t="shared" si="34"/>
        <v>0</v>
      </c>
      <c r="U133" s="62"/>
    </row>
    <row r="134" spans="1:21" ht="12.75">
      <c r="A134" s="19"/>
      <c r="B134" s="18" t="s">
        <v>10</v>
      </c>
      <c r="C134" s="18">
        <v>1977</v>
      </c>
      <c r="D134" s="18"/>
      <c r="E134" s="18"/>
      <c r="F134" s="29">
        <v>0.75</v>
      </c>
      <c r="G134" s="86">
        <f t="shared" si="28"/>
        <v>1.15</v>
      </c>
      <c r="H134" s="86">
        <v>1</v>
      </c>
      <c r="I134" s="86">
        <f t="shared" si="29"/>
        <v>1.15</v>
      </c>
      <c r="J134" s="95">
        <f t="shared" si="30"/>
        <v>129.95</v>
      </c>
      <c r="K134" s="94">
        <v>0.397775</v>
      </c>
      <c r="L134" s="39">
        <v>3234000</v>
      </c>
      <c r="M134" s="94">
        <v>0.055978</v>
      </c>
      <c r="N134" s="19"/>
      <c r="O134" s="94">
        <f t="shared" si="31"/>
        <v>0.397775</v>
      </c>
      <c r="P134" s="19"/>
      <c r="Q134" s="99">
        <f t="shared" si="32"/>
        <v>1286404.3499999999</v>
      </c>
      <c r="R134" s="100">
        <f t="shared" si="33"/>
        <v>0</v>
      </c>
      <c r="S134" s="100">
        <f t="shared" si="34"/>
        <v>0</v>
      </c>
      <c r="U134" s="62"/>
    </row>
    <row r="135" spans="1:21" ht="12.75">
      <c r="A135" s="19"/>
      <c r="B135" s="18" t="s">
        <v>10</v>
      </c>
      <c r="C135" s="18">
        <v>1982</v>
      </c>
      <c r="D135" s="18"/>
      <c r="E135" s="18"/>
      <c r="F135" s="29">
        <v>0.75</v>
      </c>
      <c r="G135" s="86">
        <f t="shared" si="28"/>
        <v>1.15</v>
      </c>
      <c r="H135" s="86">
        <v>1</v>
      </c>
      <c r="I135" s="86">
        <f t="shared" si="29"/>
        <v>1.15</v>
      </c>
      <c r="J135" s="95">
        <f t="shared" si="30"/>
        <v>129.95</v>
      </c>
      <c r="K135" s="94">
        <v>0.397775</v>
      </c>
      <c r="L135" s="39">
        <v>2270100</v>
      </c>
      <c r="M135" s="94">
        <v>0.055978</v>
      </c>
      <c r="N135" s="19"/>
      <c r="O135" s="94">
        <f t="shared" si="31"/>
        <v>0.397775</v>
      </c>
      <c r="P135" s="19"/>
      <c r="Q135" s="99">
        <f t="shared" si="32"/>
        <v>902989.0275</v>
      </c>
      <c r="R135" s="100">
        <f t="shared" si="33"/>
        <v>0</v>
      </c>
      <c r="S135" s="100">
        <f t="shared" si="34"/>
        <v>0</v>
      </c>
      <c r="U135" s="62"/>
    </row>
    <row r="136" spans="1:21" ht="12.75">
      <c r="A136" s="19"/>
      <c r="B136" s="18" t="s">
        <v>10</v>
      </c>
      <c r="C136" s="18">
        <v>1982</v>
      </c>
      <c r="D136" s="18"/>
      <c r="E136" s="18"/>
      <c r="F136" s="29">
        <v>0.75</v>
      </c>
      <c r="G136" s="86">
        <f t="shared" si="28"/>
        <v>1.15</v>
      </c>
      <c r="H136" s="86">
        <v>1</v>
      </c>
      <c r="I136" s="86">
        <f t="shared" si="29"/>
        <v>1.15</v>
      </c>
      <c r="J136" s="95">
        <f t="shared" si="30"/>
        <v>129.95</v>
      </c>
      <c r="K136" s="94">
        <v>0.397775</v>
      </c>
      <c r="L136" s="39">
        <v>882000</v>
      </c>
      <c r="M136" s="94">
        <v>0.055978</v>
      </c>
      <c r="N136" s="19"/>
      <c r="O136" s="94">
        <f t="shared" si="31"/>
        <v>0.397775</v>
      </c>
      <c r="P136" s="19"/>
      <c r="Q136" s="99">
        <f t="shared" si="32"/>
        <v>350837.55</v>
      </c>
      <c r="R136" s="100">
        <f t="shared" si="33"/>
        <v>0</v>
      </c>
      <c r="S136" s="100">
        <f t="shared" si="34"/>
        <v>0</v>
      </c>
      <c r="U136" s="62"/>
    </row>
    <row r="137" spans="1:21" ht="12.75">
      <c r="A137" s="19"/>
      <c r="B137" s="18" t="s">
        <v>10</v>
      </c>
      <c r="C137" s="18">
        <v>1982</v>
      </c>
      <c r="D137" s="18"/>
      <c r="E137" s="18"/>
      <c r="F137" s="29">
        <v>0.75</v>
      </c>
      <c r="G137" s="86">
        <f t="shared" si="28"/>
        <v>1.15</v>
      </c>
      <c r="H137" s="86">
        <v>1</v>
      </c>
      <c r="I137" s="86">
        <f t="shared" si="29"/>
        <v>1.15</v>
      </c>
      <c r="J137" s="95">
        <f t="shared" si="30"/>
        <v>129.95</v>
      </c>
      <c r="K137" s="94">
        <v>0.397775</v>
      </c>
      <c r="L137" s="39">
        <v>2016000</v>
      </c>
      <c r="M137" s="94">
        <v>0.055978</v>
      </c>
      <c r="N137" s="19"/>
      <c r="O137" s="94">
        <f t="shared" si="31"/>
        <v>0.397775</v>
      </c>
      <c r="P137" s="19"/>
      <c r="Q137" s="99">
        <f t="shared" si="32"/>
        <v>801914.4</v>
      </c>
      <c r="R137" s="100">
        <f t="shared" si="33"/>
        <v>0</v>
      </c>
      <c r="S137" s="100">
        <f t="shared" si="34"/>
        <v>0</v>
      </c>
      <c r="U137" s="62"/>
    </row>
    <row r="138" spans="1:21" ht="12.75">
      <c r="A138" s="19"/>
      <c r="B138" s="18" t="s">
        <v>10</v>
      </c>
      <c r="C138" s="18">
        <v>1982</v>
      </c>
      <c r="D138" s="18"/>
      <c r="E138" s="18"/>
      <c r="F138" s="29">
        <v>0.75</v>
      </c>
      <c r="G138" s="86">
        <f t="shared" si="28"/>
        <v>1.15</v>
      </c>
      <c r="H138" s="86">
        <v>1</v>
      </c>
      <c r="I138" s="86">
        <f t="shared" si="29"/>
        <v>1.15</v>
      </c>
      <c r="J138" s="95">
        <f t="shared" si="30"/>
        <v>129.95</v>
      </c>
      <c r="K138" s="94">
        <v>0.397775</v>
      </c>
      <c r="L138" s="39">
        <v>1008000</v>
      </c>
      <c r="M138" s="94">
        <v>0.055978</v>
      </c>
      <c r="N138" s="19"/>
      <c r="O138" s="94">
        <f t="shared" si="31"/>
        <v>0.397775</v>
      </c>
      <c r="P138" s="19"/>
      <c r="Q138" s="99">
        <f t="shared" si="32"/>
        <v>400957.2</v>
      </c>
      <c r="R138" s="100">
        <f t="shared" si="33"/>
        <v>0</v>
      </c>
      <c r="S138" s="100">
        <f t="shared" si="34"/>
        <v>0</v>
      </c>
      <c r="U138" s="62"/>
    </row>
    <row r="139" spans="1:21" ht="12.75">
      <c r="A139" s="19"/>
      <c r="B139" s="18" t="s">
        <v>10</v>
      </c>
      <c r="C139" s="18">
        <v>1984</v>
      </c>
      <c r="D139" s="18"/>
      <c r="E139" s="18"/>
      <c r="F139" s="29">
        <v>0.75</v>
      </c>
      <c r="G139" s="86">
        <f t="shared" si="28"/>
        <v>1.15</v>
      </c>
      <c r="H139" s="86">
        <v>1</v>
      </c>
      <c r="I139" s="86">
        <f t="shared" si="29"/>
        <v>1.15</v>
      </c>
      <c r="J139" s="95">
        <f t="shared" si="30"/>
        <v>129.95</v>
      </c>
      <c r="K139" s="94">
        <v>0.397775</v>
      </c>
      <c r="L139" s="39">
        <v>1029000</v>
      </c>
      <c r="M139" s="94">
        <v>0.055978</v>
      </c>
      <c r="N139" s="19"/>
      <c r="O139" s="94">
        <f t="shared" si="31"/>
        <v>0.397775</v>
      </c>
      <c r="P139" s="19"/>
      <c r="Q139" s="99">
        <f t="shared" si="32"/>
        <v>409310.475</v>
      </c>
      <c r="R139" s="100">
        <f t="shared" si="33"/>
        <v>0</v>
      </c>
      <c r="S139" s="100">
        <f t="shared" si="34"/>
        <v>0</v>
      </c>
      <c r="U139" s="62"/>
    </row>
    <row r="140" spans="1:21" ht="12.75">
      <c r="A140" s="19"/>
      <c r="B140" s="18"/>
      <c r="C140" s="18"/>
      <c r="D140" s="18"/>
      <c r="E140" s="18"/>
      <c r="F140" s="29">
        <v>0.75</v>
      </c>
      <c r="G140" s="86">
        <f t="shared" si="28"/>
        <v>1.15</v>
      </c>
      <c r="H140" s="86">
        <v>1</v>
      </c>
      <c r="I140" s="86">
        <f t="shared" si="29"/>
        <v>1.15</v>
      </c>
      <c r="J140" s="95">
        <f t="shared" si="30"/>
        <v>129.95</v>
      </c>
      <c r="K140" s="94">
        <v>0.397775</v>
      </c>
      <c r="L140" s="39">
        <v>1029000</v>
      </c>
      <c r="M140" s="94">
        <v>0.055978</v>
      </c>
      <c r="N140" s="19"/>
      <c r="O140" s="94">
        <f t="shared" si="31"/>
        <v>0.397775</v>
      </c>
      <c r="P140" s="19"/>
      <c r="Q140" s="99">
        <f t="shared" si="32"/>
        <v>409310.475</v>
      </c>
      <c r="R140" s="100">
        <f t="shared" si="33"/>
        <v>0</v>
      </c>
      <c r="S140" s="100">
        <f t="shared" si="34"/>
        <v>0</v>
      </c>
      <c r="U140" s="62"/>
    </row>
    <row r="141" spans="2:21" ht="12.75">
      <c r="B141" s="24"/>
      <c r="C141" s="24"/>
      <c r="D141" s="24"/>
      <c r="E141" s="24"/>
      <c r="F141" s="24"/>
      <c r="H141" s="24"/>
      <c r="J141" s="24"/>
      <c r="K141" s="24"/>
      <c r="L141" s="4"/>
      <c r="M141" s="24"/>
      <c r="N141" s="4"/>
      <c r="U141" s="62"/>
    </row>
    <row r="142" spans="1:21" s="24" customFormat="1" ht="12">
      <c r="A142" s="18">
        <v>1</v>
      </c>
      <c r="B142" s="18">
        <v>2</v>
      </c>
      <c r="C142" s="18">
        <v>3</v>
      </c>
      <c r="D142" s="18">
        <v>4</v>
      </c>
      <c r="E142" s="18">
        <v>5</v>
      </c>
      <c r="F142" s="85" t="s">
        <v>204</v>
      </c>
      <c r="G142" s="85" t="s">
        <v>205</v>
      </c>
      <c r="H142" s="18" t="s">
        <v>206</v>
      </c>
      <c r="I142" s="18" t="s">
        <v>207</v>
      </c>
      <c r="J142" s="18">
        <v>6</v>
      </c>
      <c r="K142" s="18">
        <v>25</v>
      </c>
      <c r="L142" s="18">
        <v>26</v>
      </c>
      <c r="M142" s="18">
        <v>28</v>
      </c>
      <c r="N142" s="18">
        <v>29</v>
      </c>
      <c r="O142" s="18">
        <v>30</v>
      </c>
      <c r="P142" s="18">
        <v>31</v>
      </c>
      <c r="Q142" s="18">
        <v>32</v>
      </c>
      <c r="R142" s="18">
        <v>33</v>
      </c>
      <c r="S142" s="18">
        <v>34</v>
      </c>
      <c r="U142" s="62"/>
    </row>
    <row r="143" spans="1:21" ht="12">
      <c r="A143" s="2" t="s">
        <v>190</v>
      </c>
      <c r="B143" s="36" t="s">
        <v>13</v>
      </c>
      <c r="C143" s="33" t="s">
        <v>14</v>
      </c>
      <c r="D143" s="36" t="s">
        <v>176</v>
      </c>
      <c r="E143" s="33" t="s">
        <v>15</v>
      </c>
      <c r="F143" s="36" t="s">
        <v>208</v>
      </c>
      <c r="G143" s="36"/>
      <c r="H143" s="32"/>
      <c r="I143" s="36"/>
      <c r="J143" s="36" t="s">
        <v>191</v>
      </c>
      <c r="K143" s="36" t="s">
        <v>192</v>
      </c>
      <c r="L143" s="36" t="s">
        <v>16</v>
      </c>
      <c r="M143" s="36" t="s">
        <v>193</v>
      </c>
      <c r="N143" s="33" t="s">
        <v>17</v>
      </c>
      <c r="O143" s="36" t="s">
        <v>194</v>
      </c>
      <c r="P143" s="36" t="s">
        <v>195</v>
      </c>
      <c r="Q143" s="33" t="s">
        <v>196</v>
      </c>
      <c r="R143" s="36" t="s">
        <v>193</v>
      </c>
      <c r="S143" s="36" t="s">
        <v>197</v>
      </c>
      <c r="U143" s="32"/>
    </row>
    <row r="144" spans="1:21" ht="12">
      <c r="A144" s="61"/>
      <c r="B144" s="37"/>
      <c r="C144" s="32" t="s">
        <v>18</v>
      </c>
      <c r="D144" s="37" t="s">
        <v>198</v>
      </c>
      <c r="E144" s="32" t="s">
        <v>19</v>
      </c>
      <c r="F144" s="37"/>
      <c r="G144" s="37"/>
      <c r="H144" s="32"/>
      <c r="I144" s="37"/>
      <c r="J144" s="37" t="s">
        <v>199</v>
      </c>
      <c r="K144" s="37" t="s">
        <v>200</v>
      </c>
      <c r="L144" s="37" t="s">
        <v>20</v>
      </c>
      <c r="M144" s="37" t="s">
        <v>200</v>
      </c>
      <c r="N144" s="32" t="s">
        <v>20</v>
      </c>
      <c r="O144" s="37" t="s">
        <v>200</v>
      </c>
      <c r="P144" s="37" t="s">
        <v>20</v>
      </c>
      <c r="Q144" s="32" t="s">
        <v>200</v>
      </c>
      <c r="R144" s="37" t="s">
        <v>200</v>
      </c>
      <c r="S144" s="37" t="s">
        <v>200</v>
      </c>
      <c r="U144" s="32"/>
    </row>
    <row r="145" spans="1:21" ht="12.75">
      <c r="A145" s="63"/>
      <c r="B145" s="29"/>
      <c r="C145" s="64"/>
      <c r="D145" s="29"/>
      <c r="E145" s="64"/>
      <c r="F145" s="29"/>
      <c r="G145" s="64"/>
      <c r="H145" s="10"/>
      <c r="I145" s="29"/>
      <c r="J145" s="38" t="s">
        <v>201</v>
      </c>
      <c r="K145" s="38" t="s">
        <v>202</v>
      </c>
      <c r="L145" s="29"/>
      <c r="M145" s="38" t="s">
        <v>202</v>
      </c>
      <c r="N145" s="64"/>
      <c r="O145" s="38" t="s">
        <v>202</v>
      </c>
      <c r="P145" s="29"/>
      <c r="Q145" s="64" t="s">
        <v>203</v>
      </c>
      <c r="R145" s="38" t="s">
        <v>203</v>
      </c>
      <c r="S145" s="29" t="s">
        <v>203</v>
      </c>
      <c r="U145" s="62"/>
    </row>
    <row r="146" spans="1:21" ht="12.75">
      <c r="A146" s="19" t="s">
        <v>85</v>
      </c>
      <c r="B146" s="18" t="s">
        <v>10</v>
      </c>
      <c r="C146" s="18">
        <v>1984</v>
      </c>
      <c r="D146" s="18"/>
      <c r="E146" s="18"/>
      <c r="F146" s="29">
        <v>0.75</v>
      </c>
      <c r="G146" s="86">
        <f aca="true" t="shared" si="35" ref="G146:G161">1+F146*(0.2)</f>
        <v>1.15</v>
      </c>
      <c r="H146" s="86">
        <v>1</v>
      </c>
      <c r="I146" s="86">
        <f aca="true" t="shared" si="36" ref="I146:I161">G146*H146</f>
        <v>1.15</v>
      </c>
      <c r="J146" s="95">
        <f aca="true" t="shared" si="37" ref="J146:J161">I146*113</f>
        <v>129.95</v>
      </c>
      <c r="K146" s="94">
        <v>0.397775</v>
      </c>
      <c r="L146" s="39">
        <v>1029000</v>
      </c>
      <c r="M146" s="94">
        <v>0.055978</v>
      </c>
      <c r="N146" s="19"/>
      <c r="O146" s="94">
        <f aca="true" t="shared" si="38" ref="O146:O161">K146</f>
        <v>0.397775</v>
      </c>
      <c r="P146" s="19"/>
      <c r="Q146" s="99">
        <f aca="true" t="shared" si="39" ref="Q146:Q161">K146*L146</f>
        <v>409310.475</v>
      </c>
      <c r="R146" s="100">
        <f aca="true" t="shared" si="40" ref="R146:R161">M146*N146</f>
        <v>0</v>
      </c>
      <c r="S146" s="100">
        <f aca="true" t="shared" si="41" ref="S146:S161">O146*P146</f>
        <v>0</v>
      </c>
      <c r="U146" s="62"/>
    </row>
    <row r="147" spans="1:21" ht="12.75">
      <c r="A147" s="19" t="s">
        <v>85</v>
      </c>
      <c r="B147" s="18" t="s">
        <v>10</v>
      </c>
      <c r="C147" s="18">
        <v>1984</v>
      </c>
      <c r="D147" s="18"/>
      <c r="E147" s="18"/>
      <c r="F147" s="29">
        <v>0.75</v>
      </c>
      <c r="G147" s="86">
        <f t="shared" si="35"/>
        <v>1.15</v>
      </c>
      <c r="H147" s="86">
        <v>1</v>
      </c>
      <c r="I147" s="86">
        <f t="shared" si="36"/>
        <v>1.15</v>
      </c>
      <c r="J147" s="95">
        <f t="shared" si="37"/>
        <v>129.95</v>
      </c>
      <c r="K147" s="94">
        <v>0.397775</v>
      </c>
      <c r="L147" s="39">
        <v>1008000</v>
      </c>
      <c r="M147" s="94">
        <v>0.055978</v>
      </c>
      <c r="N147" s="19"/>
      <c r="O147" s="94">
        <f t="shared" si="38"/>
        <v>0.397775</v>
      </c>
      <c r="P147" s="19"/>
      <c r="Q147" s="99">
        <f t="shared" si="39"/>
        <v>400957.2</v>
      </c>
      <c r="R147" s="100">
        <f t="shared" si="40"/>
        <v>0</v>
      </c>
      <c r="S147" s="100">
        <f t="shared" si="41"/>
        <v>0</v>
      </c>
      <c r="U147" s="62"/>
    </row>
    <row r="148" spans="1:21" ht="12.75">
      <c r="A148" s="19" t="s">
        <v>85</v>
      </c>
      <c r="B148" s="18" t="s">
        <v>10</v>
      </c>
      <c r="C148" s="18">
        <v>1998</v>
      </c>
      <c r="D148" s="18"/>
      <c r="E148" s="18"/>
      <c r="F148" s="29">
        <v>0.75</v>
      </c>
      <c r="G148" s="86">
        <f t="shared" si="35"/>
        <v>1.15</v>
      </c>
      <c r="H148" s="86">
        <v>1</v>
      </c>
      <c r="I148" s="86">
        <f t="shared" si="36"/>
        <v>1.15</v>
      </c>
      <c r="J148" s="95">
        <f t="shared" si="37"/>
        <v>129.95</v>
      </c>
      <c r="K148" s="94">
        <v>0.397775</v>
      </c>
      <c r="L148" s="39">
        <v>1008000</v>
      </c>
      <c r="M148" s="94">
        <v>0.055978</v>
      </c>
      <c r="N148" s="19"/>
      <c r="O148" s="94">
        <f t="shared" si="38"/>
        <v>0.397775</v>
      </c>
      <c r="P148" s="19"/>
      <c r="Q148" s="99">
        <f t="shared" si="39"/>
        <v>400957.2</v>
      </c>
      <c r="R148" s="100">
        <f t="shared" si="40"/>
        <v>0</v>
      </c>
      <c r="S148" s="100">
        <f t="shared" si="41"/>
        <v>0</v>
      </c>
      <c r="U148" s="62"/>
    </row>
    <row r="149" spans="1:21" ht="12.75">
      <c r="A149" s="19"/>
      <c r="B149" s="18" t="s">
        <v>10</v>
      </c>
      <c r="C149" s="18">
        <v>1984</v>
      </c>
      <c r="D149" s="18"/>
      <c r="E149" s="18"/>
      <c r="F149" s="29">
        <v>0.75</v>
      </c>
      <c r="G149" s="86">
        <f t="shared" si="35"/>
        <v>1.15</v>
      </c>
      <c r="H149" s="86">
        <v>1</v>
      </c>
      <c r="I149" s="86">
        <f t="shared" si="36"/>
        <v>1.15</v>
      </c>
      <c r="J149" s="95">
        <f t="shared" si="37"/>
        <v>129.95</v>
      </c>
      <c r="K149" s="94">
        <v>0.397775</v>
      </c>
      <c r="L149" s="39">
        <v>2100000</v>
      </c>
      <c r="M149" s="94">
        <v>0.055978</v>
      </c>
      <c r="N149" s="19"/>
      <c r="O149" s="94">
        <f t="shared" si="38"/>
        <v>0.397775</v>
      </c>
      <c r="P149" s="19"/>
      <c r="Q149" s="99">
        <f t="shared" si="39"/>
        <v>835327.5</v>
      </c>
      <c r="R149" s="100">
        <f t="shared" si="40"/>
        <v>0</v>
      </c>
      <c r="S149" s="100">
        <f t="shared" si="41"/>
        <v>0</v>
      </c>
      <c r="U149" s="62"/>
    </row>
    <row r="150" spans="1:21" ht="12.75">
      <c r="A150" s="19" t="s">
        <v>85</v>
      </c>
      <c r="B150" s="18" t="s">
        <v>10</v>
      </c>
      <c r="C150" s="18">
        <v>1984</v>
      </c>
      <c r="D150" s="18"/>
      <c r="E150" s="18"/>
      <c r="F150" s="29">
        <v>0.75</v>
      </c>
      <c r="G150" s="86">
        <f t="shared" si="35"/>
        <v>1.15</v>
      </c>
      <c r="H150" s="86">
        <v>1</v>
      </c>
      <c r="I150" s="86">
        <f t="shared" si="36"/>
        <v>1.15</v>
      </c>
      <c r="J150" s="95">
        <f t="shared" si="37"/>
        <v>129.95</v>
      </c>
      <c r="K150" s="94">
        <v>0.397775</v>
      </c>
      <c r="L150" s="39">
        <v>2100000</v>
      </c>
      <c r="M150" s="94">
        <v>0.055978</v>
      </c>
      <c r="N150" s="19"/>
      <c r="O150" s="94">
        <f t="shared" si="38"/>
        <v>0.397775</v>
      </c>
      <c r="P150" s="19"/>
      <c r="Q150" s="99">
        <f t="shared" si="39"/>
        <v>835327.5</v>
      </c>
      <c r="R150" s="100">
        <f t="shared" si="40"/>
        <v>0</v>
      </c>
      <c r="S150" s="100">
        <f t="shared" si="41"/>
        <v>0</v>
      </c>
      <c r="U150" s="62"/>
    </row>
    <row r="151" spans="1:21" ht="12.75">
      <c r="A151" s="19"/>
      <c r="B151" s="18" t="s">
        <v>10</v>
      </c>
      <c r="C151" s="18">
        <v>1984</v>
      </c>
      <c r="D151" s="18"/>
      <c r="E151" s="18"/>
      <c r="F151" s="29">
        <v>0.75</v>
      </c>
      <c r="G151" s="86">
        <f t="shared" si="35"/>
        <v>1.15</v>
      </c>
      <c r="H151" s="86">
        <v>1</v>
      </c>
      <c r="I151" s="86">
        <f t="shared" si="36"/>
        <v>1.15</v>
      </c>
      <c r="J151" s="95">
        <f t="shared" si="37"/>
        <v>129.95</v>
      </c>
      <c r="K151" s="94">
        <v>0.397775</v>
      </c>
      <c r="L151" s="39">
        <v>2302125</v>
      </c>
      <c r="M151" s="94">
        <v>0.055978</v>
      </c>
      <c r="N151" s="19"/>
      <c r="O151" s="94">
        <f t="shared" si="38"/>
        <v>0.397775</v>
      </c>
      <c r="P151" s="19"/>
      <c r="Q151" s="99">
        <f t="shared" si="39"/>
        <v>915727.771875</v>
      </c>
      <c r="R151" s="100">
        <f t="shared" si="40"/>
        <v>0</v>
      </c>
      <c r="S151" s="100">
        <f t="shared" si="41"/>
        <v>0</v>
      </c>
      <c r="U151" s="62"/>
    </row>
    <row r="152" spans="1:21" ht="12.75">
      <c r="A152" s="19"/>
      <c r="B152" s="18" t="s">
        <v>11</v>
      </c>
      <c r="C152" s="18">
        <v>1984</v>
      </c>
      <c r="D152" s="18"/>
      <c r="E152" s="18"/>
      <c r="F152" s="29">
        <v>0.75</v>
      </c>
      <c r="G152" s="86">
        <f t="shared" si="35"/>
        <v>1.15</v>
      </c>
      <c r="H152" s="86">
        <v>1</v>
      </c>
      <c r="I152" s="86">
        <f t="shared" si="36"/>
        <v>1.15</v>
      </c>
      <c r="J152" s="95">
        <f t="shared" si="37"/>
        <v>129.95</v>
      </c>
      <c r="K152" s="94">
        <v>0.397775</v>
      </c>
      <c r="L152" s="39">
        <v>2604000</v>
      </c>
      <c r="M152" s="94">
        <v>0.055978</v>
      </c>
      <c r="N152" s="19"/>
      <c r="O152" s="94">
        <f t="shared" si="38"/>
        <v>0.397775</v>
      </c>
      <c r="P152" s="19"/>
      <c r="Q152" s="99">
        <f t="shared" si="39"/>
        <v>1035806.1</v>
      </c>
      <c r="R152" s="100">
        <f t="shared" si="40"/>
        <v>0</v>
      </c>
      <c r="S152" s="100">
        <f t="shared" si="41"/>
        <v>0</v>
      </c>
      <c r="U152" s="62"/>
    </row>
    <row r="153" spans="1:21" ht="12.75">
      <c r="A153" s="19"/>
      <c r="B153" s="18" t="s">
        <v>11</v>
      </c>
      <c r="C153" s="18">
        <v>1984</v>
      </c>
      <c r="D153" s="18"/>
      <c r="E153" s="18"/>
      <c r="F153" s="29">
        <v>0.75</v>
      </c>
      <c r="G153" s="86">
        <f t="shared" si="35"/>
        <v>1.15</v>
      </c>
      <c r="H153" s="86">
        <v>1</v>
      </c>
      <c r="I153" s="86">
        <f t="shared" si="36"/>
        <v>1.15</v>
      </c>
      <c r="J153" s="95">
        <f t="shared" si="37"/>
        <v>129.95</v>
      </c>
      <c r="K153" s="94">
        <v>0.397775</v>
      </c>
      <c r="L153" s="39">
        <v>1029000</v>
      </c>
      <c r="M153" s="94">
        <v>0.055978</v>
      </c>
      <c r="N153" s="19"/>
      <c r="O153" s="94">
        <f t="shared" si="38"/>
        <v>0.397775</v>
      </c>
      <c r="P153" s="19"/>
      <c r="Q153" s="99">
        <f t="shared" si="39"/>
        <v>409310.475</v>
      </c>
      <c r="R153" s="100">
        <f t="shared" si="40"/>
        <v>0</v>
      </c>
      <c r="S153" s="100">
        <f t="shared" si="41"/>
        <v>0</v>
      </c>
      <c r="U153" s="62"/>
    </row>
    <row r="154" spans="1:21" ht="12.75">
      <c r="A154" s="19"/>
      <c r="B154" s="18" t="s">
        <v>11</v>
      </c>
      <c r="C154" s="18">
        <v>1984</v>
      </c>
      <c r="D154" s="18"/>
      <c r="E154" s="18"/>
      <c r="F154" s="29">
        <v>0.75</v>
      </c>
      <c r="G154" s="86">
        <f t="shared" si="35"/>
        <v>1.15</v>
      </c>
      <c r="H154" s="86">
        <v>1</v>
      </c>
      <c r="I154" s="86">
        <f t="shared" si="36"/>
        <v>1.15</v>
      </c>
      <c r="J154" s="95">
        <f t="shared" si="37"/>
        <v>129.95</v>
      </c>
      <c r="K154" s="94">
        <v>0.397775</v>
      </c>
      <c r="L154" s="39">
        <v>1050000</v>
      </c>
      <c r="M154" s="94">
        <v>0.055978</v>
      </c>
      <c r="N154" s="19"/>
      <c r="O154" s="94">
        <f t="shared" si="38"/>
        <v>0.397775</v>
      </c>
      <c r="P154" s="19"/>
      <c r="Q154" s="99">
        <f t="shared" si="39"/>
        <v>417663.75</v>
      </c>
      <c r="R154" s="100">
        <f t="shared" si="40"/>
        <v>0</v>
      </c>
      <c r="S154" s="100">
        <f t="shared" si="41"/>
        <v>0</v>
      </c>
      <c r="U154" s="62"/>
    </row>
    <row r="155" spans="1:21" ht="12.75">
      <c r="A155" s="19"/>
      <c r="B155" s="18" t="s">
        <v>11</v>
      </c>
      <c r="C155" s="18">
        <v>1988</v>
      </c>
      <c r="D155" s="18"/>
      <c r="E155" s="18"/>
      <c r="F155" s="29">
        <v>0.75</v>
      </c>
      <c r="G155" s="86">
        <f t="shared" si="35"/>
        <v>1.15</v>
      </c>
      <c r="H155" s="86">
        <v>1</v>
      </c>
      <c r="I155" s="86">
        <f t="shared" si="36"/>
        <v>1.15</v>
      </c>
      <c r="J155" s="95">
        <f t="shared" si="37"/>
        <v>129.95</v>
      </c>
      <c r="K155" s="94">
        <v>0.397775</v>
      </c>
      <c r="L155" s="39">
        <v>1029000</v>
      </c>
      <c r="M155" s="94">
        <v>0.055978</v>
      </c>
      <c r="N155" s="19"/>
      <c r="O155" s="94">
        <f t="shared" si="38"/>
        <v>0.397775</v>
      </c>
      <c r="P155" s="19"/>
      <c r="Q155" s="99">
        <f t="shared" si="39"/>
        <v>409310.475</v>
      </c>
      <c r="R155" s="100">
        <f t="shared" si="40"/>
        <v>0</v>
      </c>
      <c r="S155" s="100">
        <f t="shared" si="41"/>
        <v>0</v>
      </c>
      <c r="U155" s="62"/>
    </row>
    <row r="156" spans="1:21" ht="12.75">
      <c r="A156" s="19"/>
      <c r="B156" s="18" t="s">
        <v>11</v>
      </c>
      <c r="C156" s="18">
        <v>1990</v>
      </c>
      <c r="D156" s="18"/>
      <c r="E156" s="18"/>
      <c r="F156" s="29">
        <v>0.75</v>
      </c>
      <c r="G156" s="86">
        <f t="shared" si="35"/>
        <v>1.15</v>
      </c>
      <c r="H156" s="86">
        <v>1</v>
      </c>
      <c r="I156" s="86">
        <f t="shared" si="36"/>
        <v>1.15</v>
      </c>
      <c r="J156" s="95">
        <f t="shared" si="37"/>
        <v>129.95</v>
      </c>
      <c r="K156" s="94">
        <v>0.397775</v>
      </c>
      <c r="L156" s="39">
        <v>1029000</v>
      </c>
      <c r="M156" s="94">
        <v>0.055978</v>
      </c>
      <c r="N156" s="19"/>
      <c r="O156" s="94">
        <f t="shared" si="38"/>
        <v>0.397775</v>
      </c>
      <c r="P156" s="19"/>
      <c r="Q156" s="99">
        <f t="shared" si="39"/>
        <v>409310.475</v>
      </c>
      <c r="R156" s="100">
        <f t="shared" si="40"/>
        <v>0</v>
      </c>
      <c r="S156" s="100">
        <f t="shared" si="41"/>
        <v>0</v>
      </c>
      <c r="U156" s="62"/>
    </row>
    <row r="157" spans="1:21" ht="12.75">
      <c r="A157" s="19"/>
      <c r="B157" s="18" t="s">
        <v>11</v>
      </c>
      <c r="C157" s="18">
        <v>1990</v>
      </c>
      <c r="D157" s="18"/>
      <c r="E157" s="18"/>
      <c r="F157" s="29">
        <v>0.75</v>
      </c>
      <c r="G157" s="86">
        <f t="shared" si="35"/>
        <v>1.15</v>
      </c>
      <c r="H157" s="86">
        <v>1</v>
      </c>
      <c r="I157" s="86">
        <f t="shared" si="36"/>
        <v>1.15</v>
      </c>
      <c r="J157" s="95">
        <f t="shared" si="37"/>
        <v>129.95</v>
      </c>
      <c r="K157" s="94">
        <v>0.397775</v>
      </c>
      <c r="L157" s="39">
        <v>1029000</v>
      </c>
      <c r="M157" s="94">
        <v>0.055978</v>
      </c>
      <c r="N157" s="19"/>
      <c r="O157" s="94">
        <f t="shared" si="38"/>
        <v>0.397775</v>
      </c>
      <c r="P157" s="19"/>
      <c r="Q157" s="99">
        <f t="shared" si="39"/>
        <v>409310.475</v>
      </c>
      <c r="R157" s="100">
        <f t="shared" si="40"/>
        <v>0</v>
      </c>
      <c r="S157" s="100">
        <f t="shared" si="41"/>
        <v>0</v>
      </c>
      <c r="U157" s="62"/>
    </row>
    <row r="158" spans="1:21" ht="12.75">
      <c r="A158" s="19"/>
      <c r="B158" s="18" t="s">
        <v>11</v>
      </c>
      <c r="C158" s="18">
        <v>1990</v>
      </c>
      <c r="D158" s="18"/>
      <c r="E158" s="18"/>
      <c r="F158" s="29">
        <v>0.75</v>
      </c>
      <c r="G158" s="86">
        <f t="shared" si="35"/>
        <v>1.15</v>
      </c>
      <c r="H158" s="86">
        <v>1</v>
      </c>
      <c r="I158" s="86">
        <f t="shared" si="36"/>
        <v>1.15</v>
      </c>
      <c r="J158" s="95">
        <f t="shared" si="37"/>
        <v>129.95</v>
      </c>
      <c r="K158" s="94">
        <v>0.397775</v>
      </c>
      <c r="L158" s="39">
        <v>1029000</v>
      </c>
      <c r="M158" s="94">
        <v>0.055978</v>
      </c>
      <c r="N158" s="19"/>
      <c r="O158" s="94">
        <f t="shared" si="38"/>
        <v>0.397775</v>
      </c>
      <c r="P158" s="19"/>
      <c r="Q158" s="99">
        <f t="shared" si="39"/>
        <v>409310.475</v>
      </c>
      <c r="R158" s="100">
        <f t="shared" si="40"/>
        <v>0</v>
      </c>
      <c r="S158" s="100">
        <f t="shared" si="41"/>
        <v>0</v>
      </c>
      <c r="U158" s="62"/>
    </row>
    <row r="159" spans="1:21" ht="12.75">
      <c r="A159" s="19"/>
      <c r="B159" s="18" t="s">
        <v>11</v>
      </c>
      <c r="C159" s="18">
        <v>1988</v>
      </c>
      <c r="D159" s="18"/>
      <c r="E159" s="18"/>
      <c r="F159" s="29">
        <v>0.75</v>
      </c>
      <c r="G159" s="86">
        <f t="shared" si="35"/>
        <v>1.15</v>
      </c>
      <c r="H159" s="86">
        <v>1</v>
      </c>
      <c r="I159" s="86">
        <f t="shared" si="36"/>
        <v>1.15</v>
      </c>
      <c r="J159" s="95">
        <f t="shared" si="37"/>
        <v>129.95</v>
      </c>
      <c r="K159" s="94">
        <v>0.397775</v>
      </c>
      <c r="L159" s="39">
        <v>2016000</v>
      </c>
      <c r="M159" s="94">
        <v>0.055978</v>
      </c>
      <c r="N159" s="19"/>
      <c r="O159" s="94">
        <f t="shared" si="38"/>
        <v>0.397775</v>
      </c>
      <c r="P159" s="19"/>
      <c r="Q159" s="99">
        <f t="shared" si="39"/>
        <v>801914.4</v>
      </c>
      <c r="R159" s="100">
        <f t="shared" si="40"/>
        <v>0</v>
      </c>
      <c r="S159" s="100">
        <f t="shared" si="41"/>
        <v>0</v>
      </c>
      <c r="U159" s="62"/>
    </row>
    <row r="160" spans="1:21" ht="12.75">
      <c r="A160" s="19"/>
      <c r="B160" s="18" t="s">
        <v>11</v>
      </c>
      <c r="C160" s="18">
        <v>1988</v>
      </c>
      <c r="D160" s="18"/>
      <c r="E160" s="18"/>
      <c r="F160" s="29">
        <v>0.75</v>
      </c>
      <c r="G160" s="86">
        <f t="shared" si="35"/>
        <v>1.15</v>
      </c>
      <c r="H160" s="86">
        <v>1</v>
      </c>
      <c r="I160" s="86">
        <f t="shared" si="36"/>
        <v>1.15</v>
      </c>
      <c r="J160" s="95">
        <f t="shared" si="37"/>
        <v>129.95</v>
      </c>
      <c r="K160" s="94">
        <v>0.397775</v>
      </c>
      <c r="L160" s="39">
        <v>2100000</v>
      </c>
      <c r="M160" s="94">
        <v>0.055978</v>
      </c>
      <c r="N160" s="19"/>
      <c r="O160" s="94">
        <f t="shared" si="38"/>
        <v>0.397775</v>
      </c>
      <c r="P160" s="19"/>
      <c r="Q160" s="99">
        <f t="shared" si="39"/>
        <v>835327.5</v>
      </c>
      <c r="R160" s="100">
        <f t="shared" si="40"/>
        <v>0</v>
      </c>
      <c r="S160" s="100">
        <f t="shared" si="41"/>
        <v>0</v>
      </c>
      <c r="U160" s="62"/>
    </row>
    <row r="161" spans="1:21" ht="12.75">
      <c r="A161" s="19"/>
      <c r="B161" s="18" t="s">
        <v>87</v>
      </c>
      <c r="C161" s="18">
        <v>1990</v>
      </c>
      <c r="D161" s="18"/>
      <c r="E161" s="18"/>
      <c r="F161" s="29">
        <v>0.75</v>
      </c>
      <c r="G161" s="86">
        <f t="shared" si="35"/>
        <v>1.15</v>
      </c>
      <c r="H161" s="86">
        <v>1</v>
      </c>
      <c r="I161" s="86">
        <f t="shared" si="36"/>
        <v>1.15</v>
      </c>
      <c r="J161" s="95">
        <f t="shared" si="37"/>
        <v>129.95</v>
      </c>
      <c r="K161" s="94">
        <v>0.397775</v>
      </c>
      <c r="L161" s="39">
        <v>1029000</v>
      </c>
      <c r="M161" s="94">
        <v>0.055978</v>
      </c>
      <c r="N161" s="19"/>
      <c r="O161" s="94">
        <f t="shared" si="38"/>
        <v>0.397775</v>
      </c>
      <c r="P161" s="19"/>
      <c r="Q161" s="99">
        <f t="shared" si="39"/>
        <v>409310.475</v>
      </c>
      <c r="R161" s="100">
        <f t="shared" si="40"/>
        <v>0</v>
      </c>
      <c r="S161" s="100">
        <f t="shared" si="41"/>
        <v>0</v>
      </c>
      <c r="U161" s="62"/>
    </row>
    <row r="162" spans="1:21" ht="12.75">
      <c r="A162" s="19"/>
      <c r="B162" s="18"/>
      <c r="C162" s="18"/>
      <c r="D162" s="18"/>
      <c r="E162" s="18"/>
      <c r="F162" s="18"/>
      <c r="G162" s="18"/>
      <c r="H162" s="19"/>
      <c r="I162" s="18"/>
      <c r="J162" s="19"/>
      <c r="K162" s="18"/>
      <c r="L162" s="21"/>
      <c r="M162" s="18"/>
      <c r="N162" s="19"/>
      <c r="O162" s="19"/>
      <c r="P162" s="19"/>
      <c r="Q162" s="19"/>
      <c r="R162" s="19"/>
      <c r="S162" s="19"/>
      <c r="U162" s="62"/>
    </row>
    <row r="163" spans="1:21" ht="12.75">
      <c r="A163" s="19"/>
      <c r="B163" s="18"/>
      <c r="C163" s="18"/>
      <c r="D163" s="18"/>
      <c r="E163" s="18"/>
      <c r="F163" s="18"/>
      <c r="G163" s="18"/>
      <c r="H163" s="19"/>
      <c r="I163" s="18"/>
      <c r="J163" s="19"/>
      <c r="K163" s="18"/>
      <c r="L163" s="21"/>
      <c r="M163" s="18"/>
      <c r="N163" s="19"/>
      <c r="O163" s="19"/>
      <c r="P163" s="19"/>
      <c r="Q163" s="19"/>
      <c r="R163" s="19"/>
      <c r="S163" s="19"/>
      <c r="U163" s="62"/>
    </row>
    <row r="164" spans="1:21" ht="12.75">
      <c r="A164" s="19"/>
      <c r="B164" s="18"/>
      <c r="C164" s="18"/>
      <c r="D164" s="18"/>
      <c r="E164" s="18"/>
      <c r="F164" s="18"/>
      <c r="G164" s="18"/>
      <c r="H164" s="19"/>
      <c r="I164" s="18"/>
      <c r="J164" s="19"/>
      <c r="K164" s="18"/>
      <c r="L164" s="21"/>
      <c r="M164" s="18"/>
      <c r="N164" s="19"/>
      <c r="O164" s="19"/>
      <c r="P164" s="19"/>
      <c r="Q164" s="19"/>
      <c r="R164" s="19"/>
      <c r="S164" s="19"/>
      <c r="U164" s="62"/>
    </row>
    <row r="165" spans="1:21" ht="12.75">
      <c r="A165" s="19"/>
      <c r="B165" s="18"/>
      <c r="C165" s="18"/>
      <c r="D165" s="18"/>
      <c r="E165" s="18"/>
      <c r="F165" s="18"/>
      <c r="G165" s="18"/>
      <c r="H165" s="19"/>
      <c r="I165" s="18"/>
      <c r="J165" s="19"/>
      <c r="K165" s="18"/>
      <c r="L165" s="21"/>
      <c r="M165" s="18"/>
      <c r="N165" s="19"/>
      <c r="O165" s="19"/>
      <c r="P165" s="19"/>
      <c r="Q165" s="19"/>
      <c r="R165" s="19"/>
      <c r="S165" s="19"/>
      <c r="U165" s="62"/>
    </row>
    <row r="166" spans="1:21" ht="12.75">
      <c r="A166" s="19"/>
      <c r="B166" s="18"/>
      <c r="C166" s="18"/>
      <c r="D166" s="18"/>
      <c r="E166" s="18"/>
      <c r="F166" s="18"/>
      <c r="G166" s="18"/>
      <c r="H166" s="19"/>
      <c r="I166" s="18"/>
      <c r="J166" s="19"/>
      <c r="K166" s="18"/>
      <c r="L166" s="21"/>
      <c r="M166" s="18"/>
      <c r="N166" s="19"/>
      <c r="O166" s="19"/>
      <c r="P166" s="19"/>
      <c r="Q166" s="19"/>
      <c r="R166" s="19"/>
      <c r="S166" s="19"/>
      <c r="U166" s="62"/>
    </row>
    <row r="167" spans="1:21" ht="12.75">
      <c r="A167" s="19"/>
      <c r="B167" s="18"/>
      <c r="C167" s="18"/>
      <c r="D167" s="18"/>
      <c r="E167" s="18"/>
      <c r="F167" s="18"/>
      <c r="G167" s="18"/>
      <c r="H167" s="19"/>
      <c r="I167" s="18"/>
      <c r="J167" s="19"/>
      <c r="K167" s="18"/>
      <c r="L167" s="21"/>
      <c r="M167" s="18"/>
      <c r="N167" s="19"/>
      <c r="O167" s="19"/>
      <c r="P167" s="19"/>
      <c r="Q167" s="19"/>
      <c r="R167" s="19"/>
      <c r="S167" s="19"/>
      <c r="U167" s="62"/>
    </row>
    <row r="168" spans="1:21" ht="12.75">
      <c r="A168" s="19"/>
      <c r="B168" s="18"/>
      <c r="C168" s="18"/>
      <c r="D168" s="18"/>
      <c r="E168" s="18"/>
      <c r="F168" s="18"/>
      <c r="G168" s="18"/>
      <c r="H168" s="19"/>
      <c r="I168" s="18"/>
      <c r="J168" s="19"/>
      <c r="K168" s="18"/>
      <c r="L168" s="21"/>
      <c r="M168" s="18"/>
      <c r="N168" s="19"/>
      <c r="O168" s="19"/>
      <c r="P168" s="19"/>
      <c r="Q168" s="19"/>
      <c r="R168" s="19"/>
      <c r="S168" s="19"/>
      <c r="U168" s="62"/>
    </row>
    <row r="169" spans="1:21" ht="12.75">
      <c r="A169" s="19"/>
      <c r="B169" s="18"/>
      <c r="C169" s="18"/>
      <c r="D169" s="18"/>
      <c r="E169" s="18"/>
      <c r="F169" s="18"/>
      <c r="G169" s="18"/>
      <c r="H169" s="19"/>
      <c r="I169" s="18"/>
      <c r="J169" s="19"/>
      <c r="K169" s="18"/>
      <c r="L169" s="21"/>
      <c r="M169" s="18"/>
      <c r="N169" s="19"/>
      <c r="O169" s="19"/>
      <c r="P169" s="19"/>
      <c r="Q169" s="19"/>
      <c r="R169" s="19"/>
      <c r="S169" s="19"/>
      <c r="U169" s="62"/>
    </row>
    <row r="170" spans="1:21" ht="12.75">
      <c r="A170" s="19"/>
      <c r="B170" s="18"/>
      <c r="C170" s="18"/>
      <c r="D170" s="18"/>
      <c r="E170" s="18"/>
      <c r="F170" s="18"/>
      <c r="G170" s="18"/>
      <c r="H170" s="19"/>
      <c r="I170" s="18"/>
      <c r="J170" s="19"/>
      <c r="K170" s="18"/>
      <c r="L170" s="21"/>
      <c r="M170" s="18"/>
      <c r="N170" s="19"/>
      <c r="O170" s="19"/>
      <c r="P170" s="19"/>
      <c r="Q170" s="19"/>
      <c r="R170" s="19"/>
      <c r="S170" s="19"/>
      <c r="U170" s="62"/>
    </row>
    <row r="171" spans="1:21" ht="12.75">
      <c r="A171" s="19"/>
      <c r="B171" s="18"/>
      <c r="C171" s="18"/>
      <c r="D171" s="18"/>
      <c r="E171" s="18"/>
      <c r="F171" s="18"/>
      <c r="G171" s="18"/>
      <c r="H171" s="19"/>
      <c r="I171" s="18"/>
      <c r="J171" s="19"/>
      <c r="K171" s="18"/>
      <c r="L171" s="21"/>
      <c r="M171" s="18"/>
      <c r="N171" s="19"/>
      <c r="O171" s="19"/>
      <c r="P171" s="19"/>
      <c r="Q171" s="19"/>
      <c r="R171" s="19"/>
      <c r="S171" s="19"/>
      <c r="U171" s="62"/>
    </row>
    <row r="172" spans="1:21" ht="12.75">
      <c r="A172" s="19"/>
      <c r="B172" s="18"/>
      <c r="C172" s="18"/>
      <c r="D172" s="18"/>
      <c r="E172" s="18"/>
      <c r="F172" s="18"/>
      <c r="G172" s="18"/>
      <c r="H172" s="19"/>
      <c r="I172" s="18"/>
      <c r="J172" s="19"/>
      <c r="K172" s="18"/>
      <c r="L172" s="21"/>
      <c r="M172" s="18"/>
      <c r="N172" s="19"/>
      <c r="O172" s="19"/>
      <c r="P172" s="19"/>
      <c r="Q172" s="19"/>
      <c r="R172" s="19"/>
      <c r="S172" s="19"/>
      <c r="U172" s="62"/>
    </row>
    <row r="173" spans="1:21" ht="13.5" thickBot="1">
      <c r="A173" s="19"/>
      <c r="B173" s="18"/>
      <c r="C173" s="18"/>
      <c r="D173" s="18"/>
      <c r="E173" s="18"/>
      <c r="F173" s="18"/>
      <c r="G173" s="18"/>
      <c r="H173" s="19"/>
      <c r="I173" s="18"/>
      <c r="J173" s="19"/>
      <c r="K173" s="18"/>
      <c r="L173" s="19"/>
      <c r="M173" s="18"/>
      <c r="N173" s="19"/>
      <c r="O173" s="19"/>
      <c r="P173" s="19"/>
      <c r="Q173" s="19"/>
      <c r="R173" s="19"/>
      <c r="S173" s="19"/>
      <c r="U173" s="62"/>
    </row>
    <row r="174" spans="11:21" ht="13.5" thickBot="1">
      <c r="K174" s="112" t="s">
        <v>218</v>
      </c>
      <c r="L174" s="113">
        <f>SUM(L146:L173)+SUM(L111:L140)</f>
        <v>56883125</v>
      </c>
      <c r="M174" s="24"/>
      <c r="N174" s="113">
        <f>SUM(N146:N173)+SUM(N111:N140)</f>
        <v>0</v>
      </c>
      <c r="P174" s="113">
        <f>SUM(P146:P173)+SUM(P111:P140)</f>
        <v>0</v>
      </c>
      <c r="Q174" s="113">
        <f>SUM(Q146:Q173)+SUM(Q111:Q140)</f>
        <v>23180764.753299996</v>
      </c>
      <c r="R174" s="113">
        <f>SUM(R146:R173)+SUM(R111:R140)</f>
        <v>0</v>
      </c>
      <c r="S174" s="113">
        <f>SUM(S146:S173)+SUM(S111:S140)</f>
        <v>0</v>
      </c>
      <c r="U174" s="80"/>
    </row>
    <row r="175" spans="11:21" ht="12.75">
      <c r="K175" s="24"/>
      <c r="L175" s="4"/>
      <c r="M175" s="24"/>
      <c r="N175" s="4"/>
      <c r="U175" s="80"/>
    </row>
    <row r="176" spans="1:21" ht="12.75">
      <c r="A176" s="17" t="s">
        <v>89</v>
      </c>
      <c r="K176" s="24"/>
      <c r="L176" s="4"/>
      <c r="M176" s="24"/>
      <c r="N176" s="4"/>
      <c r="U176" s="80"/>
    </row>
    <row r="177" spans="1:21" s="24" customFormat="1" ht="12">
      <c r="A177" s="18">
        <v>1</v>
      </c>
      <c r="B177" s="18">
        <v>2</v>
      </c>
      <c r="C177" s="18">
        <v>3</v>
      </c>
      <c r="D177" s="18">
        <v>4</v>
      </c>
      <c r="E177" s="18">
        <v>5</v>
      </c>
      <c r="F177" s="85" t="s">
        <v>204</v>
      </c>
      <c r="G177" s="85" t="s">
        <v>205</v>
      </c>
      <c r="H177" s="18" t="s">
        <v>206</v>
      </c>
      <c r="I177" s="18" t="s">
        <v>207</v>
      </c>
      <c r="J177" s="18">
        <v>6</v>
      </c>
      <c r="K177" s="18">
        <v>25</v>
      </c>
      <c r="L177" s="18">
        <v>26</v>
      </c>
      <c r="M177" s="18">
        <v>28</v>
      </c>
      <c r="N177" s="18">
        <v>29</v>
      </c>
      <c r="O177" s="18">
        <v>30</v>
      </c>
      <c r="P177" s="18">
        <v>31</v>
      </c>
      <c r="Q177" s="18">
        <v>32</v>
      </c>
      <c r="R177" s="18">
        <v>33</v>
      </c>
      <c r="S177" s="18">
        <v>34</v>
      </c>
      <c r="U177" s="62"/>
    </row>
    <row r="178" spans="1:21" ht="12">
      <c r="A178" s="2" t="s">
        <v>190</v>
      </c>
      <c r="B178" s="36" t="s">
        <v>13</v>
      </c>
      <c r="C178" s="33" t="s">
        <v>14</v>
      </c>
      <c r="D178" s="36" t="s">
        <v>176</v>
      </c>
      <c r="E178" s="33" t="s">
        <v>15</v>
      </c>
      <c r="F178" s="36" t="s">
        <v>208</v>
      </c>
      <c r="G178" s="36"/>
      <c r="H178" s="32"/>
      <c r="I178" s="36"/>
      <c r="J178" s="36" t="s">
        <v>191</v>
      </c>
      <c r="K178" s="36" t="s">
        <v>192</v>
      </c>
      <c r="L178" s="36" t="s">
        <v>16</v>
      </c>
      <c r="M178" s="36" t="s">
        <v>193</v>
      </c>
      <c r="N178" s="33" t="s">
        <v>17</v>
      </c>
      <c r="O178" s="36" t="s">
        <v>194</v>
      </c>
      <c r="P178" s="36" t="s">
        <v>195</v>
      </c>
      <c r="Q178" s="33" t="s">
        <v>196</v>
      </c>
      <c r="R178" s="36" t="s">
        <v>193</v>
      </c>
      <c r="S178" s="36" t="s">
        <v>197</v>
      </c>
      <c r="U178" s="32"/>
    </row>
    <row r="179" spans="1:21" ht="12">
      <c r="A179" s="61"/>
      <c r="B179" s="37"/>
      <c r="C179" s="32" t="s">
        <v>18</v>
      </c>
      <c r="D179" s="37" t="s">
        <v>198</v>
      </c>
      <c r="E179" s="32" t="s">
        <v>19</v>
      </c>
      <c r="F179" s="37"/>
      <c r="G179" s="37"/>
      <c r="H179" s="32"/>
      <c r="I179" s="37"/>
      <c r="J179" s="37" t="s">
        <v>199</v>
      </c>
      <c r="K179" s="37" t="s">
        <v>200</v>
      </c>
      <c r="L179" s="37" t="s">
        <v>20</v>
      </c>
      <c r="M179" s="37" t="s">
        <v>200</v>
      </c>
      <c r="N179" s="32" t="s">
        <v>20</v>
      </c>
      <c r="O179" s="37" t="s">
        <v>200</v>
      </c>
      <c r="P179" s="37" t="s">
        <v>20</v>
      </c>
      <c r="Q179" s="32" t="s">
        <v>200</v>
      </c>
      <c r="R179" s="37" t="s">
        <v>200</v>
      </c>
      <c r="S179" s="37" t="s">
        <v>200</v>
      </c>
      <c r="U179" s="32"/>
    </row>
    <row r="180" spans="1:21" ht="12.75">
      <c r="A180" s="63"/>
      <c r="B180" s="29"/>
      <c r="C180" s="64"/>
      <c r="D180" s="29"/>
      <c r="E180" s="64"/>
      <c r="F180" s="29"/>
      <c r="G180" s="64"/>
      <c r="H180" s="10"/>
      <c r="I180" s="29"/>
      <c r="J180" s="38" t="s">
        <v>201</v>
      </c>
      <c r="K180" s="38" t="s">
        <v>202</v>
      </c>
      <c r="L180" s="29"/>
      <c r="M180" s="38" t="s">
        <v>202</v>
      </c>
      <c r="N180" s="64"/>
      <c r="O180" s="38" t="s">
        <v>202</v>
      </c>
      <c r="P180" s="29"/>
      <c r="Q180" s="64" t="s">
        <v>203</v>
      </c>
      <c r="R180" s="38" t="s">
        <v>203</v>
      </c>
      <c r="S180" s="29" t="s">
        <v>203</v>
      </c>
      <c r="U180" s="62"/>
    </row>
    <row r="181" spans="1:21" ht="12.75">
      <c r="A181" s="18">
        <v>1</v>
      </c>
      <c r="B181" s="18" t="s">
        <v>22</v>
      </c>
      <c r="C181" s="18">
        <v>1990</v>
      </c>
      <c r="D181" s="18">
        <v>20</v>
      </c>
      <c r="E181" s="18">
        <v>0.5</v>
      </c>
      <c r="F181" s="29">
        <v>0.75</v>
      </c>
      <c r="G181" s="86">
        <f aca="true" t="shared" si="42" ref="G181:G207">1+F181*(0.2)</f>
        <v>1.15</v>
      </c>
      <c r="H181" s="86">
        <v>1</v>
      </c>
      <c r="I181" s="86">
        <f aca="true" t="shared" si="43" ref="I181:I207">G181*H181</f>
        <v>1.15</v>
      </c>
      <c r="J181" s="95">
        <f aca="true" t="shared" si="44" ref="J181:J207">I181*113</f>
        <v>129.95</v>
      </c>
      <c r="K181" s="94">
        <v>0.429712</v>
      </c>
      <c r="L181" s="79">
        <v>210000</v>
      </c>
      <c r="M181" s="94">
        <v>0.283329</v>
      </c>
      <c r="N181" s="39">
        <v>23625</v>
      </c>
      <c r="O181" s="94">
        <f aca="true" t="shared" si="45" ref="O181:O207">K181</f>
        <v>0.429712</v>
      </c>
      <c r="P181" s="40"/>
      <c r="Q181" s="99">
        <f aca="true" t="shared" si="46" ref="Q181:Q207">K181*L181</f>
        <v>90239.51999999999</v>
      </c>
      <c r="R181" s="100">
        <f aca="true" t="shared" si="47" ref="R181:R207">M181*N181</f>
        <v>6693.647625</v>
      </c>
      <c r="S181" s="100">
        <f aca="true" t="shared" si="48" ref="S181:S207">O181*P181</f>
        <v>0</v>
      </c>
      <c r="U181" s="62"/>
    </row>
    <row r="182" spans="1:21" ht="12.75">
      <c r="A182" s="18">
        <v>2</v>
      </c>
      <c r="B182" s="18" t="s">
        <v>22</v>
      </c>
      <c r="C182" s="18">
        <v>1990</v>
      </c>
      <c r="D182" s="18">
        <v>20</v>
      </c>
      <c r="E182" s="18">
        <v>0.5</v>
      </c>
      <c r="F182" s="29">
        <v>0.75</v>
      </c>
      <c r="G182" s="86">
        <f t="shared" si="42"/>
        <v>1.15</v>
      </c>
      <c r="H182" s="86">
        <v>1</v>
      </c>
      <c r="I182" s="86">
        <f t="shared" si="43"/>
        <v>1.15</v>
      </c>
      <c r="J182" s="95">
        <f t="shared" si="44"/>
        <v>129.95</v>
      </c>
      <c r="K182" s="94">
        <v>0.429712</v>
      </c>
      <c r="L182" s="79">
        <v>560000</v>
      </c>
      <c r="M182" s="94">
        <v>0.283329</v>
      </c>
      <c r="N182" s="39">
        <v>63000</v>
      </c>
      <c r="O182" s="94">
        <f t="shared" si="45"/>
        <v>0.429712</v>
      </c>
      <c r="P182" s="40"/>
      <c r="Q182" s="99">
        <f t="shared" si="46"/>
        <v>240638.72</v>
      </c>
      <c r="R182" s="100">
        <f t="shared" si="47"/>
        <v>17849.727</v>
      </c>
      <c r="S182" s="100">
        <f t="shared" si="48"/>
        <v>0</v>
      </c>
      <c r="U182" s="62"/>
    </row>
    <row r="183" spans="1:21" ht="12.75">
      <c r="A183" s="18">
        <v>3</v>
      </c>
      <c r="B183" s="18" t="s">
        <v>22</v>
      </c>
      <c r="C183" s="18">
        <v>1990</v>
      </c>
      <c r="D183" s="18">
        <v>20</v>
      </c>
      <c r="E183" s="18">
        <v>0.5</v>
      </c>
      <c r="F183" s="29">
        <v>0.75</v>
      </c>
      <c r="G183" s="86">
        <f t="shared" si="42"/>
        <v>1.15</v>
      </c>
      <c r="H183" s="86">
        <v>1</v>
      </c>
      <c r="I183" s="86">
        <f t="shared" si="43"/>
        <v>1.15</v>
      </c>
      <c r="J183" s="95">
        <f t="shared" si="44"/>
        <v>129.95</v>
      </c>
      <c r="K183" s="94">
        <v>0.429712</v>
      </c>
      <c r="L183" s="79">
        <v>383000</v>
      </c>
      <c r="M183" s="94">
        <v>0.283329</v>
      </c>
      <c r="N183" s="39">
        <v>43087.5</v>
      </c>
      <c r="O183" s="94">
        <f t="shared" si="45"/>
        <v>0.429712</v>
      </c>
      <c r="P183" s="40"/>
      <c r="Q183" s="99">
        <f t="shared" si="46"/>
        <v>164579.696</v>
      </c>
      <c r="R183" s="100">
        <f t="shared" si="47"/>
        <v>12207.9382875</v>
      </c>
      <c r="S183" s="100">
        <f t="shared" si="48"/>
        <v>0</v>
      </c>
      <c r="U183" s="62"/>
    </row>
    <row r="184" spans="1:21" ht="12.75">
      <c r="A184" s="18">
        <v>4</v>
      </c>
      <c r="B184" s="18" t="s">
        <v>22</v>
      </c>
      <c r="C184" s="18">
        <v>1990</v>
      </c>
      <c r="D184" s="18">
        <v>20</v>
      </c>
      <c r="E184" s="18">
        <v>0.5</v>
      </c>
      <c r="F184" s="29">
        <v>0.75</v>
      </c>
      <c r="G184" s="86">
        <f t="shared" si="42"/>
        <v>1.15</v>
      </c>
      <c r="H184" s="86">
        <v>1</v>
      </c>
      <c r="I184" s="86">
        <f t="shared" si="43"/>
        <v>1.15</v>
      </c>
      <c r="J184" s="95">
        <f t="shared" si="44"/>
        <v>129.95</v>
      </c>
      <c r="K184" s="94">
        <v>0.429712</v>
      </c>
      <c r="L184" s="79">
        <v>367000</v>
      </c>
      <c r="M184" s="94">
        <v>0.283329</v>
      </c>
      <c r="N184" s="39">
        <v>41287.5</v>
      </c>
      <c r="O184" s="94">
        <f t="shared" si="45"/>
        <v>0.429712</v>
      </c>
      <c r="P184" s="40"/>
      <c r="Q184" s="99">
        <f t="shared" si="46"/>
        <v>157704.304</v>
      </c>
      <c r="R184" s="100">
        <f t="shared" si="47"/>
        <v>11697.9460875</v>
      </c>
      <c r="S184" s="100">
        <f t="shared" si="48"/>
        <v>0</v>
      </c>
      <c r="U184" s="62"/>
    </row>
    <row r="185" spans="1:21" ht="12.75">
      <c r="A185" s="18">
        <v>5</v>
      </c>
      <c r="B185" s="18" t="s">
        <v>22</v>
      </c>
      <c r="C185" s="18">
        <v>1990</v>
      </c>
      <c r="D185" s="18">
        <v>20</v>
      </c>
      <c r="E185" s="18">
        <v>0.5</v>
      </c>
      <c r="F185" s="29">
        <v>0.75</v>
      </c>
      <c r="G185" s="86">
        <f t="shared" si="42"/>
        <v>1.15</v>
      </c>
      <c r="H185" s="86">
        <v>1</v>
      </c>
      <c r="I185" s="86">
        <f t="shared" si="43"/>
        <v>1.15</v>
      </c>
      <c r="J185" s="95">
        <f t="shared" si="44"/>
        <v>129.95</v>
      </c>
      <c r="K185" s="94">
        <v>0.429712</v>
      </c>
      <c r="L185" s="79">
        <v>133000</v>
      </c>
      <c r="M185" s="94">
        <v>0.283329</v>
      </c>
      <c r="N185" s="39">
        <v>14962.5</v>
      </c>
      <c r="O185" s="94">
        <f t="shared" si="45"/>
        <v>0.429712</v>
      </c>
      <c r="P185" s="40"/>
      <c r="Q185" s="99">
        <f t="shared" si="46"/>
        <v>57151.695999999996</v>
      </c>
      <c r="R185" s="100">
        <f t="shared" si="47"/>
        <v>4239.3101625</v>
      </c>
      <c r="S185" s="100">
        <f t="shared" si="48"/>
        <v>0</v>
      </c>
      <c r="U185" s="62"/>
    </row>
    <row r="186" spans="1:21" ht="12.75">
      <c r="A186" s="18">
        <v>6</v>
      </c>
      <c r="B186" s="18" t="s">
        <v>22</v>
      </c>
      <c r="C186" s="18">
        <v>1990</v>
      </c>
      <c r="D186" s="18">
        <v>20</v>
      </c>
      <c r="E186" s="18">
        <v>0.5</v>
      </c>
      <c r="F186" s="29">
        <v>0.75</v>
      </c>
      <c r="G186" s="86">
        <f t="shared" si="42"/>
        <v>1.15</v>
      </c>
      <c r="H186" s="86">
        <v>1</v>
      </c>
      <c r="I186" s="86">
        <f t="shared" si="43"/>
        <v>1.15</v>
      </c>
      <c r="J186" s="95">
        <f t="shared" si="44"/>
        <v>129.95</v>
      </c>
      <c r="K186" s="94">
        <v>0.429712</v>
      </c>
      <c r="L186" s="79">
        <v>128000</v>
      </c>
      <c r="M186" s="94">
        <v>0.283329</v>
      </c>
      <c r="N186" s="39">
        <v>14400</v>
      </c>
      <c r="O186" s="94">
        <f t="shared" si="45"/>
        <v>0.429712</v>
      </c>
      <c r="P186" s="40"/>
      <c r="Q186" s="99">
        <f t="shared" si="46"/>
        <v>55003.136</v>
      </c>
      <c r="R186" s="100">
        <f t="shared" si="47"/>
        <v>4079.9375999999997</v>
      </c>
      <c r="S186" s="100">
        <f t="shared" si="48"/>
        <v>0</v>
      </c>
      <c r="U186" s="62"/>
    </row>
    <row r="187" spans="1:21" ht="12.75">
      <c r="A187" s="18">
        <v>7</v>
      </c>
      <c r="B187" s="18" t="s">
        <v>22</v>
      </c>
      <c r="C187" s="18" t="s">
        <v>90</v>
      </c>
      <c r="D187" s="18">
        <v>150</v>
      </c>
      <c r="E187" s="27" t="s">
        <v>91</v>
      </c>
      <c r="F187" s="92">
        <v>1</v>
      </c>
      <c r="G187" s="86">
        <f t="shared" si="42"/>
        <v>1.2</v>
      </c>
      <c r="H187" s="86">
        <v>1</v>
      </c>
      <c r="I187" s="86">
        <f t="shared" si="43"/>
        <v>1.2</v>
      </c>
      <c r="J187" s="95">
        <f t="shared" si="44"/>
        <v>135.6</v>
      </c>
      <c r="K187" s="94">
        <v>0.842507</v>
      </c>
      <c r="L187" s="79">
        <v>190000</v>
      </c>
      <c r="M187" s="94">
        <v>0.865179</v>
      </c>
      <c r="N187" s="39">
        <v>21375</v>
      </c>
      <c r="O187" s="94">
        <f t="shared" si="45"/>
        <v>0.842507</v>
      </c>
      <c r="P187" s="44"/>
      <c r="Q187" s="99">
        <f t="shared" si="46"/>
        <v>160076.33</v>
      </c>
      <c r="R187" s="100">
        <f t="shared" si="47"/>
        <v>18493.201125</v>
      </c>
      <c r="S187" s="100">
        <f t="shared" si="48"/>
        <v>0</v>
      </c>
      <c r="U187" s="62"/>
    </row>
    <row r="188" spans="1:21" ht="12.75">
      <c r="A188" s="18">
        <v>8</v>
      </c>
      <c r="B188" s="18" t="s">
        <v>22</v>
      </c>
      <c r="C188" s="18" t="s">
        <v>90</v>
      </c>
      <c r="D188" s="18">
        <v>150</v>
      </c>
      <c r="E188" s="27" t="s">
        <v>91</v>
      </c>
      <c r="F188" s="92">
        <v>1</v>
      </c>
      <c r="G188" s="86">
        <f t="shared" si="42"/>
        <v>1.2</v>
      </c>
      <c r="H188" s="86">
        <v>1</v>
      </c>
      <c r="I188" s="86">
        <f t="shared" si="43"/>
        <v>1.2</v>
      </c>
      <c r="J188" s="95">
        <f t="shared" si="44"/>
        <v>135.6</v>
      </c>
      <c r="K188" s="94">
        <v>0.842507</v>
      </c>
      <c r="L188" s="79">
        <v>100000</v>
      </c>
      <c r="M188" s="94">
        <v>0.865179</v>
      </c>
      <c r="N188" s="39">
        <v>11250</v>
      </c>
      <c r="O188" s="94">
        <f t="shared" si="45"/>
        <v>0.842507</v>
      </c>
      <c r="P188" s="44"/>
      <c r="Q188" s="99">
        <f t="shared" si="46"/>
        <v>84250.7</v>
      </c>
      <c r="R188" s="100">
        <f t="shared" si="47"/>
        <v>9733.26375</v>
      </c>
      <c r="S188" s="100">
        <f t="shared" si="48"/>
        <v>0</v>
      </c>
      <c r="U188" s="62"/>
    </row>
    <row r="189" spans="1:21" ht="12.75">
      <c r="A189" s="18">
        <v>9</v>
      </c>
      <c r="B189" s="18" t="s">
        <v>22</v>
      </c>
      <c r="C189" s="18" t="s">
        <v>90</v>
      </c>
      <c r="D189" s="18">
        <v>150</v>
      </c>
      <c r="E189" s="27" t="s">
        <v>92</v>
      </c>
      <c r="F189" s="92">
        <v>1</v>
      </c>
      <c r="G189" s="86">
        <f t="shared" si="42"/>
        <v>1.2</v>
      </c>
      <c r="H189" s="86">
        <v>1</v>
      </c>
      <c r="I189" s="86">
        <f t="shared" si="43"/>
        <v>1.2</v>
      </c>
      <c r="J189" s="95">
        <f t="shared" si="44"/>
        <v>135.6</v>
      </c>
      <c r="K189" s="94">
        <v>0.842507</v>
      </c>
      <c r="L189" s="79">
        <v>280000</v>
      </c>
      <c r="M189" s="94">
        <v>0.865179</v>
      </c>
      <c r="N189" s="39">
        <v>31500</v>
      </c>
      <c r="O189" s="94">
        <f t="shared" si="45"/>
        <v>0.842507</v>
      </c>
      <c r="P189" s="44"/>
      <c r="Q189" s="99">
        <f t="shared" si="46"/>
        <v>235901.96</v>
      </c>
      <c r="R189" s="100">
        <f t="shared" si="47"/>
        <v>27253.1385</v>
      </c>
      <c r="S189" s="100">
        <f t="shared" si="48"/>
        <v>0</v>
      </c>
      <c r="U189" s="62"/>
    </row>
    <row r="190" spans="1:21" ht="12.75">
      <c r="A190" s="18">
        <v>10</v>
      </c>
      <c r="B190" s="18" t="s">
        <v>22</v>
      </c>
      <c r="C190" s="18" t="s">
        <v>90</v>
      </c>
      <c r="D190" s="18">
        <v>150</v>
      </c>
      <c r="E190" s="27" t="s">
        <v>92</v>
      </c>
      <c r="F190" s="92">
        <v>1</v>
      </c>
      <c r="G190" s="86">
        <f t="shared" si="42"/>
        <v>1.2</v>
      </c>
      <c r="H190" s="86">
        <v>1</v>
      </c>
      <c r="I190" s="86">
        <f t="shared" si="43"/>
        <v>1.2</v>
      </c>
      <c r="J190" s="95">
        <f t="shared" si="44"/>
        <v>135.6</v>
      </c>
      <c r="K190" s="94">
        <v>0.842507</v>
      </c>
      <c r="L190" s="79">
        <v>183000</v>
      </c>
      <c r="M190" s="94">
        <v>0.865179</v>
      </c>
      <c r="N190" s="39">
        <v>20587.5</v>
      </c>
      <c r="O190" s="94">
        <f t="shared" si="45"/>
        <v>0.842507</v>
      </c>
      <c r="P190" s="44"/>
      <c r="Q190" s="99">
        <f t="shared" si="46"/>
        <v>154178.781</v>
      </c>
      <c r="R190" s="100">
        <f t="shared" si="47"/>
        <v>17811.8726625</v>
      </c>
      <c r="S190" s="100">
        <f t="shared" si="48"/>
        <v>0</v>
      </c>
      <c r="U190" s="62"/>
    </row>
    <row r="191" spans="1:21" ht="12.75">
      <c r="A191" s="18">
        <v>11</v>
      </c>
      <c r="B191" s="18" t="s">
        <v>22</v>
      </c>
      <c r="C191" s="18" t="s">
        <v>90</v>
      </c>
      <c r="D191" s="18">
        <v>150</v>
      </c>
      <c r="E191" s="27" t="s">
        <v>92</v>
      </c>
      <c r="F191" s="92">
        <v>1</v>
      </c>
      <c r="G191" s="86">
        <f t="shared" si="42"/>
        <v>1.2</v>
      </c>
      <c r="H191" s="86">
        <v>1</v>
      </c>
      <c r="I191" s="86">
        <f t="shared" si="43"/>
        <v>1.2</v>
      </c>
      <c r="J191" s="95">
        <f t="shared" si="44"/>
        <v>135.6</v>
      </c>
      <c r="K191" s="94">
        <v>0.842507</v>
      </c>
      <c r="L191" s="79">
        <v>125000</v>
      </c>
      <c r="M191" s="94">
        <v>0.865179</v>
      </c>
      <c r="N191" s="39">
        <v>14062.5</v>
      </c>
      <c r="O191" s="94">
        <f t="shared" si="45"/>
        <v>0.842507</v>
      </c>
      <c r="P191" s="44"/>
      <c r="Q191" s="99">
        <f t="shared" si="46"/>
        <v>105313.375</v>
      </c>
      <c r="R191" s="100">
        <f t="shared" si="47"/>
        <v>12166.5796875</v>
      </c>
      <c r="S191" s="100">
        <f t="shared" si="48"/>
        <v>0</v>
      </c>
      <c r="U191" s="62"/>
    </row>
    <row r="192" spans="1:21" ht="12.75">
      <c r="A192" s="18">
        <v>12</v>
      </c>
      <c r="B192" s="18" t="s">
        <v>22</v>
      </c>
      <c r="C192" s="18" t="s">
        <v>90</v>
      </c>
      <c r="D192" s="18">
        <v>150</v>
      </c>
      <c r="E192" s="27" t="s">
        <v>92</v>
      </c>
      <c r="F192" s="92">
        <v>1</v>
      </c>
      <c r="G192" s="86">
        <f t="shared" si="42"/>
        <v>1.2</v>
      </c>
      <c r="H192" s="86">
        <v>1</v>
      </c>
      <c r="I192" s="86">
        <f t="shared" si="43"/>
        <v>1.2</v>
      </c>
      <c r="J192" s="95">
        <f t="shared" si="44"/>
        <v>135.6</v>
      </c>
      <c r="K192" s="94">
        <v>0.842507</v>
      </c>
      <c r="L192" s="79">
        <v>70000</v>
      </c>
      <c r="M192" s="94">
        <v>0.865179</v>
      </c>
      <c r="N192" s="39"/>
      <c r="O192" s="94">
        <f t="shared" si="45"/>
        <v>0.842507</v>
      </c>
      <c r="P192" s="44"/>
      <c r="Q192" s="99">
        <f t="shared" si="46"/>
        <v>58975.49</v>
      </c>
      <c r="R192" s="100">
        <f t="shared" si="47"/>
        <v>0</v>
      </c>
      <c r="S192" s="100">
        <f t="shared" si="48"/>
        <v>0</v>
      </c>
      <c r="U192" s="62"/>
    </row>
    <row r="193" spans="1:21" ht="12.75">
      <c r="A193" s="18">
        <v>13</v>
      </c>
      <c r="B193" s="18" t="s">
        <v>22</v>
      </c>
      <c r="C193" s="18" t="s">
        <v>90</v>
      </c>
      <c r="D193" s="18">
        <v>900</v>
      </c>
      <c r="E193" s="27" t="s">
        <v>93</v>
      </c>
      <c r="F193" s="92">
        <v>1</v>
      </c>
      <c r="G193" s="86">
        <f t="shared" si="42"/>
        <v>1.2</v>
      </c>
      <c r="H193" s="86">
        <v>1</v>
      </c>
      <c r="I193" s="86">
        <f t="shared" si="43"/>
        <v>1.2</v>
      </c>
      <c r="J193" s="95">
        <f t="shared" si="44"/>
        <v>135.6</v>
      </c>
      <c r="K193" s="94">
        <v>0.978022</v>
      </c>
      <c r="L193" s="79">
        <v>470000</v>
      </c>
      <c r="M193" s="94">
        <v>0.974117</v>
      </c>
      <c r="N193" s="39">
        <v>52875</v>
      </c>
      <c r="O193" s="94">
        <f t="shared" si="45"/>
        <v>0.978022</v>
      </c>
      <c r="P193" s="44" t="s">
        <v>94</v>
      </c>
      <c r="Q193" s="99">
        <f t="shared" si="46"/>
        <v>459670.33999999997</v>
      </c>
      <c r="R193" s="100">
        <f t="shared" si="47"/>
        <v>51506.436375</v>
      </c>
      <c r="S193" s="100">
        <f t="shared" si="48"/>
        <v>24450.55</v>
      </c>
      <c r="U193" s="62"/>
    </row>
    <row r="194" spans="1:21" ht="12.75">
      <c r="A194" s="18">
        <v>14</v>
      </c>
      <c r="B194" s="18"/>
      <c r="C194" s="18" t="s">
        <v>90</v>
      </c>
      <c r="D194" s="18">
        <v>900</v>
      </c>
      <c r="E194" s="27" t="s">
        <v>93</v>
      </c>
      <c r="F194" s="92">
        <v>1</v>
      </c>
      <c r="G194" s="86">
        <f t="shared" si="42"/>
        <v>1.2</v>
      </c>
      <c r="H194" s="86">
        <v>1</v>
      </c>
      <c r="I194" s="86">
        <f t="shared" si="43"/>
        <v>1.2</v>
      </c>
      <c r="J194" s="95">
        <f t="shared" si="44"/>
        <v>135.6</v>
      </c>
      <c r="K194" s="94">
        <v>0.978022</v>
      </c>
      <c r="L194" s="79">
        <v>120000</v>
      </c>
      <c r="M194" s="94">
        <v>0.974117</v>
      </c>
      <c r="N194" s="39">
        <v>13500</v>
      </c>
      <c r="O194" s="94">
        <f t="shared" si="45"/>
        <v>0.978022</v>
      </c>
      <c r="P194" s="44"/>
      <c r="Q194" s="99">
        <f t="shared" si="46"/>
        <v>117362.64</v>
      </c>
      <c r="R194" s="100">
        <f t="shared" si="47"/>
        <v>13150.5795</v>
      </c>
      <c r="S194" s="100">
        <f t="shared" si="48"/>
        <v>0</v>
      </c>
      <c r="U194" s="62"/>
    </row>
    <row r="195" spans="1:21" ht="12.75">
      <c r="A195" s="18">
        <v>15</v>
      </c>
      <c r="B195" s="18"/>
      <c r="C195" s="18" t="s">
        <v>90</v>
      </c>
      <c r="D195" s="18">
        <v>900</v>
      </c>
      <c r="E195" s="27" t="s">
        <v>93</v>
      </c>
      <c r="F195" s="92">
        <v>1</v>
      </c>
      <c r="G195" s="86">
        <f t="shared" si="42"/>
        <v>1.2</v>
      </c>
      <c r="H195" s="86">
        <v>1</v>
      </c>
      <c r="I195" s="86">
        <f t="shared" si="43"/>
        <v>1.2</v>
      </c>
      <c r="J195" s="95">
        <f t="shared" si="44"/>
        <v>135.6</v>
      </c>
      <c r="K195" s="94">
        <v>0.978022</v>
      </c>
      <c r="L195" s="79">
        <v>38000</v>
      </c>
      <c r="M195" s="94">
        <v>0.974117</v>
      </c>
      <c r="N195" s="39"/>
      <c r="O195" s="94">
        <f t="shared" si="45"/>
        <v>0.978022</v>
      </c>
      <c r="P195" s="44"/>
      <c r="Q195" s="99">
        <f t="shared" si="46"/>
        <v>37164.835999999996</v>
      </c>
      <c r="R195" s="100">
        <f t="shared" si="47"/>
        <v>0</v>
      </c>
      <c r="S195" s="100">
        <f t="shared" si="48"/>
        <v>0</v>
      </c>
      <c r="U195" s="62"/>
    </row>
    <row r="196" spans="1:21" ht="12.75">
      <c r="A196" s="18">
        <v>16</v>
      </c>
      <c r="B196" s="18" t="s">
        <v>22</v>
      </c>
      <c r="C196" s="18">
        <v>1989</v>
      </c>
      <c r="D196" s="18">
        <v>10</v>
      </c>
      <c r="E196" s="27" t="s">
        <v>50</v>
      </c>
      <c r="F196" s="29">
        <v>0.65</v>
      </c>
      <c r="G196" s="86">
        <f t="shared" si="42"/>
        <v>1.13</v>
      </c>
      <c r="H196" s="86">
        <v>1</v>
      </c>
      <c r="I196" s="86">
        <f t="shared" si="43"/>
        <v>1.13</v>
      </c>
      <c r="J196" s="95">
        <f t="shared" si="44"/>
        <v>127.68999999999998</v>
      </c>
      <c r="K196" s="94">
        <v>0.360819</v>
      </c>
      <c r="L196" s="79">
        <v>910000</v>
      </c>
      <c r="M196" s="94">
        <v>0.203078</v>
      </c>
      <c r="N196" s="39">
        <v>102375</v>
      </c>
      <c r="O196" s="94">
        <f t="shared" si="45"/>
        <v>0.360819</v>
      </c>
      <c r="P196" s="44"/>
      <c r="Q196" s="99">
        <f t="shared" si="46"/>
        <v>328345.29</v>
      </c>
      <c r="R196" s="100">
        <f t="shared" si="47"/>
        <v>20790.11025</v>
      </c>
      <c r="S196" s="100">
        <f t="shared" si="48"/>
        <v>0</v>
      </c>
      <c r="U196" s="62"/>
    </row>
    <row r="197" spans="1:21" ht="12.75">
      <c r="A197" s="18">
        <v>17</v>
      </c>
      <c r="B197" s="18" t="s">
        <v>22</v>
      </c>
      <c r="C197" s="18">
        <v>1989</v>
      </c>
      <c r="D197" s="18">
        <v>10</v>
      </c>
      <c r="E197" s="27" t="s">
        <v>50</v>
      </c>
      <c r="F197" s="29">
        <v>0.65</v>
      </c>
      <c r="G197" s="86">
        <f t="shared" si="42"/>
        <v>1.13</v>
      </c>
      <c r="H197" s="86">
        <v>1</v>
      </c>
      <c r="I197" s="86">
        <f t="shared" si="43"/>
        <v>1.13</v>
      </c>
      <c r="J197" s="95">
        <f t="shared" si="44"/>
        <v>127.68999999999998</v>
      </c>
      <c r="K197" s="94">
        <v>0.360819</v>
      </c>
      <c r="L197" s="79">
        <v>1420000</v>
      </c>
      <c r="M197" s="94">
        <v>0.203078</v>
      </c>
      <c r="N197" s="39">
        <v>159750</v>
      </c>
      <c r="O197" s="94">
        <f t="shared" si="45"/>
        <v>0.360819</v>
      </c>
      <c r="P197" s="44"/>
      <c r="Q197" s="99">
        <f t="shared" si="46"/>
        <v>512362.98</v>
      </c>
      <c r="R197" s="100">
        <f t="shared" si="47"/>
        <v>32441.7105</v>
      </c>
      <c r="S197" s="100">
        <f t="shared" si="48"/>
        <v>0</v>
      </c>
      <c r="U197" s="62"/>
    </row>
    <row r="198" spans="1:21" ht="12.75">
      <c r="A198" s="18">
        <v>18</v>
      </c>
      <c r="B198" s="18" t="s">
        <v>22</v>
      </c>
      <c r="C198" s="18">
        <v>1989</v>
      </c>
      <c r="D198" s="18">
        <v>10</v>
      </c>
      <c r="E198" s="27" t="s">
        <v>50</v>
      </c>
      <c r="F198" s="29">
        <v>0.65</v>
      </c>
      <c r="G198" s="86">
        <f t="shared" si="42"/>
        <v>1.13</v>
      </c>
      <c r="H198" s="86">
        <v>1</v>
      </c>
      <c r="I198" s="86">
        <f t="shared" si="43"/>
        <v>1.13</v>
      </c>
      <c r="J198" s="95">
        <f t="shared" si="44"/>
        <v>127.68999999999998</v>
      </c>
      <c r="K198" s="94">
        <v>0.360819</v>
      </c>
      <c r="L198" s="79">
        <v>80000</v>
      </c>
      <c r="M198" s="94">
        <v>0.203078</v>
      </c>
      <c r="N198" s="39">
        <v>9000</v>
      </c>
      <c r="O198" s="94">
        <f t="shared" si="45"/>
        <v>0.360819</v>
      </c>
      <c r="P198" s="44"/>
      <c r="Q198" s="99">
        <f t="shared" si="46"/>
        <v>28865.52</v>
      </c>
      <c r="R198" s="100">
        <f t="shared" si="47"/>
        <v>1827.702</v>
      </c>
      <c r="S198" s="100">
        <f t="shared" si="48"/>
        <v>0</v>
      </c>
      <c r="U198" s="62"/>
    </row>
    <row r="199" spans="1:21" ht="12.75">
      <c r="A199" s="18">
        <v>19</v>
      </c>
      <c r="B199" s="18" t="s">
        <v>22</v>
      </c>
      <c r="C199" s="18">
        <v>1962</v>
      </c>
      <c r="D199" s="18">
        <v>30</v>
      </c>
      <c r="E199" s="27" t="s">
        <v>95</v>
      </c>
      <c r="F199" s="29">
        <v>0.8</v>
      </c>
      <c r="G199" s="86">
        <f t="shared" si="42"/>
        <v>1.1600000000000001</v>
      </c>
      <c r="H199" s="86">
        <v>1</v>
      </c>
      <c r="I199" s="86">
        <f t="shared" si="43"/>
        <v>1.1600000000000001</v>
      </c>
      <c r="J199" s="95">
        <f t="shared" si="44"/>
        <v>131.08</v>
      </c>
      <c r="K199" s="94">
        <v>0.526113</v>
      </c>
      <c r="L199" s="79">
        <v>870000</v>
      </c>
      <c r="M199" s="94">
        <v>0.412051</v>
      </c>
      <c r="N199" s="39">
        <v>97875</v>
      </c>
      <c r="O199" s="94">
        <f t="shared" si="45"/>
        <v>0.526113</v>
      </c>
      <c r="P199" s="44"/>
      <c r="Q199" s="99">
        <f t="shared" si="46"/>
        <v>457718.31000000006</v>
      </c>
      <c r="R199" s="100">
        <f t="shared" si="47"/>
        <v>40329.491625</v>
      </c>
      <c r="S199" s="100">
        <f t="shared" si="48"/>
        <v>0</v>
      </c>
      <c r="U199" s="62"/>
    </row>
    <row r="200" spans="1:21" ht="12.75">
      <c r="A200" s="18">
        <v>20</v>
      </c>
      <c r="B200" s="18"/>
      <c r="C200" s="18">
        <v>1962</v>
      </c>
      <c r="D200" s="18">
        <v>30</v>
      </c>
      <c r="E200" s="27" t="s">
        <v>95</v>
      </c>
      <c r="F200" s="29">
        <v>0.8</v>
      </c>
      <c r="G200" s="86">
        <f t="shared" si="42"/>
        <v>1.1600000000000001</v>
      </c>
      <c r="H200" s="86">
        <v>1</v>
      </c>
      <c r="I200" s="86">
        <f t="shared" si="43"/>
        <v>1.1600000000000001</v>
      </c>
      <c r="J200" s="95">
        <f t="shared" si="44"/>
        <v>131.08</v>
      </c>
      <c r="K200" s="94">
        <v>0.526113</v>
      </c>
      <c r="L200" s="79">
        <v>232000</v>
      </c>
      <c r="M200" s="94">
        <v>0.412051</v>
      </c>
      <c r="N200" s="39">
        <v>26100</v>
      </c>
      <c r="O200" s="94">
        <f t="shared" si="45"/>
        <v>0.526113</v>
      </c>
      <c r="P200" s="44"/>
      <c r="Q200" s="99">
        <f t="shared" si="46"/>
        <v>122058.21600000001</v>
      </c>
      <c r="R200" s="100">
        <f t="shared" si="47"/>
        <v>10754.5311</v>
      </c>
      <c r="S200" s="100">
        <f t="shared" si="48"/>
        <v>0</v>
      </c>
      <c r="U200" s="62"/>
    </row>
    <row r="201" spans="1:21" ht="12.75">
      <c r="A201" s="18">
        <v>21</v>
      </c>
      <c r="B201" s="18"/>
      <c r="C201" s="18">
        <v>1962</v>
      </c>
      <c r="D201" s="18">
        <v>30</v>
      </c>
      <c r="E201" s="27" t="s">
        <v>95</v>
      </c>
      <c r="F201" s="29">
        <v>0.8</v>
      </c>
      <c r="G201" s="86">
        <f t="shared" si="42"/>
        <v>1.1600000000000001</v>
      </c>
      <c r="H201" s="86">
        <v>1</v>
      </c>
      <c r="I201" s="86">
        <f t="shared" si="43"/>
        <v>1.1600000000000001</v>
      </c>
      <c r="J201" s="95">
        <f t="shared" si="44"/>
        <v>131.08</v>
      </c>
      <c r="K201" s="94">
        <v>0.526113</v>
      </c>
      <c r="L201" s="79">
        <v>95000</v>
      </c>
      <c r="M201" s="94">
        <v>0.412051</v>
      </c>
      <c r="N201" s="39">
        <v>10687.5</v>
      </c>
      <c r="O201" s="94">
        <f t="shared" si="45"/>
        <v>0.526113</v>
      </c>
      <c r="P201" s="44"/>
      <c r="Q201" s="99">
        <f t="shared" si="46"/>
        <v>49980.73500000001</v>
      </c>
      <c r="R201" s="100">
        <f t="shared" si="47"/>
        <v>4403.7950625</v>
      </c>
      <c r="S201" s="100">
        <f t="shared" si="48"/>
        <v>0</v>
      </c>
      <c r="U201" s="62"/>
    </row>
    <row r="202" spans="1:21" ht="12.75">
      <c r="A202" s="18">
        <v>22</v>
      </c>
      <c r="B202" s="18"/>
      <c r="C202" s="18">
        <v>1962</v>
      </c>
      <c r="D202" s="18">
        <v>30</v>
      </c>
      <c r="E202" s="27" t="s">
        <v>95</v>
      </c>
      <c r="F202" s="29">
        <v>0.8</v>
      </c>
      <c r="G202" s="86">
        <f t="shared" si="42"/>
        <v>1.1600000000000001</v>
      </c>
      <c r="H202" s="86">
        <v>1</v>
      </c>
      <c r="I202" s="86">
        <f t="shared" si="43"/>
        <v>1.1600000000000001</v>
      </c>
      <c r="J202" s="95">
        <f t="shared" si="44"/>
        <v>131.08</v>
      </c>
      <c r="K202" s="94">
        <v>0.526113</v>
      </c>
      <c r="L202" s="79">
        <v>210000</v>
      </c>
      <c r="M202" s="94">
        <v>0.412051</v>
      </c>
      <c r="N202" s="39">
        <v>23625</v>
      </c>
      <c r="O202" s="94">
        <f t="shared" si="45"/>
        <v>0.526113</v>
      </c>
      <c r="P202" s="44"/>
      <c r="Q202" s="99">
        <f t="shared" si="46"/>
        <v>110483.73000000001</v>
      </c>
      <c r="R202" s="100">
        <f t="shared" si="47"/>
        <v>9734.704875</v>
      </c>
      <c r="S202" s="100">
        <f t="shared" si="48"/>
        <v>0</v>
      </c>
      <c r="U202" s="62"/>
    </row>
    <row r="203" spans="1:21" ht="12.75">
      <c r="A203" s="18">
        <v>23</v>
      </c>
      <c r="B203" s="18" t="s">
        <v>22</v>
      </c>
      <c r="C203" s="18">
        <v>1984</v>
      </c>
      <c r="D203" s="18">
        <v>700</v>
      </c>
      <c r="E203" s="27" t="s">
        <v>96</v>
      </c>
      <c r="F203" s="92">
        <v>1</v>
      </c>
      <c r="G203" s="86">
        <f t="shared" si="42"/>
        <v>1.2</v>
      </c>
      <c r="H203" s="86">
        <v>1</v>
      </c>
      <c r="I203" s="86">
        <f t="shared" si="43"/>
        <v>1.2</v>
      </c>
      <c r="J203" s="95">
        <f t="shared" si="44"/>
        <v>135.6</v>
      </c>
      <c r="K203" s="94">
        <v>0.97034</v>
      </c>
      <c r="L203" s="79">
        <v>453000</v>
      </c>
      <c r="M203" s="94">
        <v>0.970265</v>
      </c>
      <c r="N203" s="39">
        <v>50962.5</v>
      </c>
      <c r="O203" s="94">
        <f t="shared" si="45"/>
        <v>0.97034</v>
      </c>
      <c r="P203" s="44"/>
      <c r="Q203" s="99">
        <f t="shared" si="46"/>
        <v>439564.02</v>
      </c>
      <c r="R203" s="100">
        <f t="shared" si="47"/>
        <v>49447.1300625</v>
      </c>
      <c r="S203" s="100">
        <f t="shared" si="48"/>
        <v>0</v>
      </c>
      <c r="U203" s="62"/>
    </row>
    <row r="204" spans="1:21" ht="12.75">
      <c r="A204" s="18">
        <v>24</v>
      </c>
      <c r="B204" s="18"/>
      <c r="C204" s="18">
        <v>1984</v>
      </c>
      <c r="D204" s="18">
        <v>700</v>
      </c>
      <c r="E204" s="27" t="s">
        <v>96</v>
      </c>
      <c r="F204" s="92">
        <v>1</v>
      </c>
      <c r="G204" s="86">
        <f t="shared" si="42"/>
        <v>1.2</v>
      </c>
      <c r="H204" s="86">
        <v>1</v>
      </c>
      <c r="I204" s="86">
        <f t="shared" si="43"/>
        <v>1.2</v>
      </c>
      <c r="J204" s="95">
        <f t="shared" si="44"/>
        <v>135.6</v>
      </c>
      <c r="K204" s="94">
        <v>0.97034</v>
      </c>
      <c r="L204" s="79">
        <v>453000</v>
      </c>
      <c r="M204" s="94">
        <v>0.970265</v>
      </c>
      <c r="N204" s="39">
        <v>50962.5</v>
      </c>
      <c r="O204" s="94">
        <f t="shared" si="45"/>
        <v>0.97034</v>
      </c>
      <c r="P204" s="44"/>
      <c r="Q204" s="99">
        <f t="shared" si="46"/>
        <v>439564.02</v>
      </c>
      <c r="R204" s="100">
        <f t="shared" si="47"/>
        <v>49447.1300625</v>
      </c>
      <c r="S204" s="100">
        <f t="shared" si="48"/>
        <v>0</v>
      </c>
      <c r="U204" s="62"/>
    </row>
    <row r="205" spans="1:21" ht="12.75">
      <c r="A205" s="18">
        <v>25</v>
      </c>
      <c r="B205" s="18"/>
      <c r="C205" s="18">
        <v>1984</v>
      </c>
      <c r="D205" s="18">
        <v>700</v>
      </c>
      <c r="E205" s="27" t="s">
        <v>96</v>
      </c>
      <c r="F205" s="92">
        <v>1</v>
      </c>
      <c r="G205" s="86">
        <f t="shared" si="42"/>
        <v>1.2</v>
      </c>
      <c r="H205" s="86">
        <v>1</v>
      </c>
      <c r="I205" s="86">
        <f t="shared" si="43"/>
        <v>1.2</v>
      </c>
      <c r="J205" s="95">
        <f t="shared" si="44"/>
        <v>135.6</v>
      </c>
      <c r="K205" s="94">
        <v>0.97034</v>
      </c>
      <c r="L205" s="79">
        <v>153000</v>
      </c>
      <c r="M205" s="94">
        <v>0.970265</v>
      </c>
      <c r="N205" s="39">
        <v>17212.5</v>
      </c>
      <c r="O205" s="94">
        <f t="shared" si="45"/>
        <v>0.97034</v>
      </c>
      <c r="P205" s="44"/>
      <c r="Q205" s="99">
        <f t="shared" si="46"/>
        <v>148462.02</v>
      </c>
      <c r="R205" s="100">
        <f t="shared" si="47"/>
        <v>16700.6863125</v>
      </c>
      <c r="S205" s="100">
        <f t="shared" si="48"/>
        <v>0</v>
      </c>
      <c r="U205" s="62"/>
    </row>
    <row r="206" spans="1:21" ht="12.75">
      <c r="A206" s="18">
        <v>26</v>
      </c>
      <c r="B206" s="18" t="s">
        <v>22</v>
      </c>
      <c r="C206" s="18" t="s">
        <v>44</v>
      </c>
      <c r="D206" s="18">
        <v>200</v>
      </c>
      <c r="E206" s="27" t="s">
        <v>97</v>
      </c>
      <c r="F206" s="92">
        <v>1</v>
      </c>
      <c r="G206" s="86">
        <f t="shared" si="42"/>
        <v>1.2</v>
      </c>
      <c r="H206" s="86">
        <v>1</v>
      </c>
      <c r="I206" s="86">
        <f t="shared" si="43"/>
        <v>1.2</v>
      </c>
      <c r="J206" s="95">
        <f t="shared" si="44"/>
        <v>135.6</v>
      </c>
      <c r="K206" s="94">
        <v>0.880404</v>
      </c>
      <c r="L206" s="79">
        <v>477000</v>
      </c>
      <c r="M206" s="94">
        <v>0.903649</v>
      </c>
      <c r="N206" s="39">
        <v>53662.5</v>
      </c>
      <c r="O206" s="94">
        <f t="shared" si="45"/>
        <v>0.880404</v>
      </c>
      <c r="P206" s="44"/>
      <c r="Q206" s="99">
        <f t="shared" si="46"/>
        <v>419952.708</v>
      </c>
      <c r="R206" s="100">
        <f t="shared" si="47"/>
        <v>48492.0644625</v>
      </c>
      <c r="S206" s="100">
        <f t="shared" si="48"/>
        <v>0</v>
      </c>
      <c r="U206" s="62"/>
    </row>
    <row r="207" spans="1:21" ht="12.75">
      <c r="A207" s="18">
        <v>27</v>
      </c>
      <c r="B207" s="18"/>
      <c r="C207" s="18" t="s">
        <v>44</v>
      </c>
      <c r="D207" s="18">
        <v>200</v>
      </c>
      <c r="E207" s="27" t="s">
        <v>97</v>
      </c>
      <c r="F207" s="92">
        <v>1</v>
      </c>
      <c r="G207" s="86">
        <f t="shared" si="42"/>
        <v>1.2</v>
      </c>
      <c r="H207" s="86">
        <v>1</v>
      </c>
      <c r="I207" s="86">
        <f t="shared" si="43"/>
        <v>1.2</v>
      </c>
      <c r="J207" s="95">
        <f t="shared" si="44"/>
        <v>135.6</v>
      </c>
      <c r="K207" s="94">
        <v>0.880404</v>
      </c>
      <c r="L207" s="79">
        <v>373000</v>
      </c>
      <c r="M207" s="94">
        <v>0.903649</v>
      </c>
      <c r="N207" s="39">
        <v>41962.5</v>
      </c>
      <c r="O207" s="94">
        <f t="shared" si="45"/>
        <v>0.880404</v>
      </c>
      <c r="P207" s="44"/>
      <c r="Q207" s="99">
        <f t="shared" si="46"/>
        <v>328390.692</v>
      </c>
      <c r="R207" s="100">
        <f t="shared" si="47"/>
        <v>37919.3711625</v>
      </c>
      <c r="S207" s="100">
        <f t="shared" si="48"/>
        <v>0</v>
      </c>
      <c r="U207" s="62"/>
    </row>
    <row r="208" spans="11:21" ht="12.75">
      <c r="K208" s="24"/>
      <c r="L208" s="4"/>
      <c r="M208" s="24"/>
      <c r="N208" s="4"/>
      <c r="U208" s="80"/>
    </row>
    <row r="209" spans="1:21" s="24" customFormat="1" ht="12">
      <c r="A209" s="18">
        <v>1</v>
      </c>
      <c r="B209" s="18">
        <v>2</v>
      </c>
      <c r="C209" s="18">
        <v>3</v>
      </c>
      <c r="D209" s="18">
        <v>4</v>
      </c>
      <c r="E209" s="18">
        <v>5</v>
      </c>
      <c r="F209" s="85" t="s">
        <v>204</v>
      </c>
      <c r="G209" s="85" t="s">
        <v>205</v>
      </c>
      <c r="H209" s="41" t="s">
        <v>206</v>
      </c>
      <c r="I209" s="18" t="s">
        <v>207</v>
      </c>
      <c r="J209" s="18">
        <v>6</v>
      </c>
      <c r="K209" s="18">
        <v>25</v>
      </c>
      <c r="L209" s="18">
        <v>26</v>
      </c>
      <c r="M209" s="18">
        <v>28</v>
      </c>
      <c r="N209" s="18">
        <v>29</v>
      </c>
      <c r="O209" s="18">
        <v>30</v>
      </c>
      <c r="P209" s="18">
        <v>31</v>
      </c>
      <c r="Q209" s="18">
        <v>32</v>
      </c>
      <c r="R209" s="18">
        <v>33</v>
      </c>
      <c r="S209" s="18">
        <v>34</v>
      </c>
      <c r="U209" s="62"/>
    </row>
    <row r="210" spans="1:21" ht="12">
      <c r="A210" s="2" t="s">
        <v>190</v>
      </c>
      <c r="B210" s="36" t="s">
        <v>13</v>
      </c>
      <c r="C210" s="33" t="s">
        <v>14</v>
      </c>
      <c r="D210" s="36" t="s">
        <v>176</v>
      </c>
      <c r="E210" s="33" t="s">
        <v>15</v>
      </c>
      <c r="F210" s="36" t="s">
        <v>208</v>
      </c>
      <c r="G210" s="36"/>
      <c r="H210" s="32"/>
      <c r="I210" s="37"/>
      <c r="J210" s="36" t="s">
        <v>191</v>
      </c>
      <c r="K210" s="36" t="s">
        <v>192</v>
      </c>
      <c r="L210" s="36" t="s">
        <v>16</v>
      </c>
      <c r="M210" s="36" t="s">
        <v>193</v>
      </c>
      <c r="N210" s="33" t="s">
        <v>17</v>
      </c>
      <c r="O210" s="36" t="s">
        <v>194</v>
      </c>
      <c r="P210" s="36" t="s">
        <v>195</v>
      </c>
      <c r="Q210" s="33" t="s">
        <v>196</v>
      </c>
      <c r="R210" s="36" t="s">
        <v>193</v>
      </c>
      <c r="S210" s="36" t="s">
        <v>197</v>
      </c>
      <c r="U210" s="32"/>
    </row>
    <row r="211" spans="1:21" ht="12">
      <c r="A211" s="61"/>
      <c r="B211" s="37"/>
      <c r="C211" s="32" t="s">
        <v>18</v>
      </c>
      <c r="D211" s="37" t="s">
        <v>198</v>
      </c>
      <c r="E211" s="32" t="s">
        <v>19</v>
      </c>
      <c r="F211" s="37"/>
      <c r="G211" s="37"/>
      <c r="H211" s="32"/>
      <c r="I211" s="37"/>
      <c r="J211" s="37" t="s">
        <v>199</v>
      </c>
      <c r="K211" s="37" t="s">
        <v>200</v>
      </c>
      <c r="L211" s="37" t="s">
        <v>20</v>
      </c>
      <c r="M211" s="37" t="s">
        <v>200</v>
      </c>
      <c r="N211" s="32" t="s">
        <v>20</v>
      </c>
      <c r="O211" s="37" t="s">
        <v>200</v>
      </c>
      <c r="P211" s="37" t="s">
        <v>20</v>
      </c>
      <c r="Q211" s="32" t="s">
        <v>200</v>
      </c>
      <c r="R211" s="37" t="s">
        <v>200</v>
      </c>
      <c r="S211" s="37" t="s">
        <v>200</v>
      </c>
      <c r="U211" s="32"/>
    </row>
    <row r="212" spans="1:21" ht="12.75">
      <c r="A212" s="63"/>
      <c r="B212" s="29"/>
      <c r="C212" s="64"/>
      <c r="D212" s="29"/>
      <c r="E212" s="64"/>
      <c r="F212" s="29"/>
      <c r="G212" s="64"/>
      <c r="H212" s="10"/>
      <c r="I212" s="29"/>
      <c r="J212" s="38" t="s">
        <v>201</v>
      </c>
      <c r="K212" s="38" t="s">
        <v>202</v>
      </c>
      <c r="L212" s="29"/>
      <c r="M212" s="38" t="s">
        <v>202</v>
      </c>
      <c r="N212" s="64"/>
      <c r="O212" s="38" t="s">
        <v>202</v>
      </c>
      <c r="P212" s="29"/>
      <c r="Q212" s="64" t="s">
        <v>203</v>
      </c>
      <c r="R212" s="38" t="s">
        <v>203</v>
      </c>
      <c r="S212" s="29" t="s">
        <v>203</v>
      </c>
      <c r="U212" s="62"/>
    </row>
    <row r="213" spans="1:21" ht="12.75">
      <c r="A213" s="18">
        <v>1</v>
      </c>
      <c r="B213" s="18" t="s">
        <v>22</v>
      </c>
      <c r="C213" s="18">
        <v>1983</v>
      </c>
      <c r="D213" s="18">
        <v>700</v>
      </c>
      <c r="E213" s="18">
        <v>6</v>
      </c>
      <c r="F213" s="92">
        <v>1</v>
      </c>
      <c r="G213" s="86">
        <f aca="true" t="shared" si="49" ref="G213:G237">1+F213*(0.2)</f>
        <v>1.2</v>
      </c>
      <c r="H213" s="86">
        <v>1</v>
      </c>
      <c r="I213" s="86">
        <f aca="true" t="shared" si="50" ref="I213:I237">G213*H213</f>
        <v>1.2</v>
      </c>
      <c r="J213" s="95">
        <f aca="true" t="shared" si="51" ref="J213:J237">I213*113</f>
        <v>135.6</v>
      </c>
      <c r="K213" s="94">
        <v>0.97034</v>
      </c>
      <c r="L213" s="21">
        <v>670000</v>
      </c>
      <c r="M213" s="94">
        <v>0.970265</v>
      </c>
      <c r="N213" s="39">
        <v>75375</v>
      </c>
      <c r="O213" s="94">
        <f aca="true" t="shared" si="52" ref="O213:O237">K213</f>
        <v>0.97034</v>
      </c>
      <c r="P213" s="19"/>
      <c r="Q213" s="99">
        <f aca="true" t="shared" si="53" ref="Q213:Q237">K213*L213</f>
        <v>650127.7999999999</v>
      </c>
      <c r="R213" s="100">
        <f aca="true" t="shared" si="54" ref="R213:R237">M213*N213</f>
        <v>73133.724375</v>
      </c>
      <c r="S213" s="100">
        <f aca="true" t="shared" si="55" ref="S213:S237">O213*P213</f>
        <v>0</v>
      </c>
      <c r="U213" s="62"/>
    </row>
    <row r="214" spans="1:21" ht="12.75">
      <c r="A214" s="18">
        <v>2</v>
      </c>
      <c r="B214" s="18" t="s">
        <v>22</v>
      </c>
      <c r="C214" s="18">
        <v>1983</v>
      </c>
      <c r="D214" s="18">
        <v>700</v>
      </c>
      <c r="E214" s="18">
        <v>6</v>
      </c>
      <c r="F214" s="92">
        <v>1</v>
      </c>
      <c r="G214" s="86">
        <f t="shared" si="49"/>
        <v>1.2</v>
      </c>
      <c r="H214" s="86">
        <v>1</v>
      </c>
      <c r="I214" s="86">
        <f t="shared" si="50"/>
        <v>1.2</v>
      </c>
      <c r="J214" s="95">
        <f t="shared" si="51"/>
        <v>135.6</v>
      </c>
      <c r="K214" s="94">
        <v>0.97034</v>
      </c>
      <c r="L214" s="21">
        <v>662000</v>
      </c>
      <c r="M214" s="94">
        <v>0.970265</v>
      </c>
      <c r="N214" s="39">
        <v>74475</v>
      </c>
      <c r="O214" s="94">
        <f t="shared" si="52"/>
        <v>0.97034</v>
      </c>
      <c r="P214" s="19"/>
      <c r="Q214" s="99">
        <f t="shared" si="53"/>
        <v>642365.08</v>
      </c>
      <c r="R214" s="100">
        <f t="shared" si="54"/>
        <v>72260.485875</v>
      </c>
      <c r="S214" s="100">
        <f t="shared" si="55"/>
        <v>0</v>
      </c>
      <c r="U214" s="62"/>
    </row>
    <row r="215" spans="1:21" ht="12.75">
      <c r="A215" s="18">
        <v>3</v>
      </c>
      <c r="B215" s="18" t="s">
        <v>22</v>
      </c>
      <c r="C215" s="18">
        <v>1983</v>
      </c>
      <c r="D215" s="18">
        <v>700</v>
      </c>
      <c r="E215" s="18">
        <v>6</v>
      </c>
      <c r="F215" s="92">
        <v>1</v>
      </c>
      <c r="G215" s="86">
        <f t="shared" si="49"/>
        <v>1.2</v>
      </c>
      <c r="H215" s="86">
        <v>1</v>
      </c>
      <c r="I215" s="86">
        <f t="shared" si="50"/>
        <v>1.2</v>
      </c>
      <c r="J215" s="95">
        <f t="shared" si="51"/>
        <v>135.6</v>
      </c>
      <c r="K215" s="94">
        <v>0.97034</v>
      </c>
      <c r="L215" s="21">
        <v>68000</v>
      </c>
      <c r="M215" s="94">
        <v>0.970265</v>
      </c>
      <c r="N215" s="39">
        <v>7650</v>
      </c>
      <c r="O215" s="94">
        <f t="shared" si="52"/>
        <v>0.97034</v>
      </c>
      <c r="P215" s="19"/>
      <c r="Q215" s="99">
        <f t="shared" si="53"/>
        <v>65983.12</v>
      </c>
      <c r="R215" s="100">
        <f t="shared" si="54"/>
        <v>7422.52725</v>
      </c>
      <c r="S215" s="100">
        <f t="shared" si="55"/>
        <v>0</v>
      </c>
      <c r="U215" s="62"/>
    </row>
    <row r="216" spans="1:21" ht="12.75">
      <c r="A216" s="18">
        <v>4</v>
      </c>
      <c r="B216" s="18" t="s">
        <v>22</v>
      </c>
      <c r="C216" s="18">
        <v>1983</v>
      </c>
      <c r="D216" s="18">
        <v>150</v>
      </c>
      <c r="E216" s="18">
        <v>1</v>
      </c>
      <c r="F216" s="29">
        <v>0.8</v>
      </c>
      <c r="G216" s="86">
        <f t="shared" si="49"/>
        <v>1.1600000000000001</v>
      </c>
      <c r="H216" s="86">
        <v>1</v>
      </c>
      <c r="I216" s="86">
        <f t="shared" si="50"/>
        <v>1.1600000000000001</v>
      </c>
      <c r="J216" s="95">
        <f t="shared" si="51"/>
        <v>131.08</v>
      </c>
      <c r="K216" s="94">
        <v>0.799034</v>
      </c>
      <c r="L216" s="21">
        <v>193000</v>
      </c>
      <c r="M216" s="94">
        <v>0.819373</v>
      </c>
      <c r="N216" s="39">
        <v>21712.5</v>
      </c>
      <c r="O216" s="94">
        <f t="shared" si="52"/>
        <v>0.799034</v>
      </c>
      <c r="P216" s="19"/>
      <c r="Q216" s="99">
        <f t="shared" si="53"/>
        <v>154213.562</v>
      </c>
      <c r="R216" s="100">
        <f t="shared" si="54"/>
        <v>17790.6362625</v>
      </c>
      <c r="S216" s="100">
        <f t="shared" si="55"/>
        <v>0</v>
      </c>
      <c r="U216" s="62"/>
    </row>
    <row r="217" spans="1:21" ht="12.75">
      <c r="A217" s="18">
        <v>5</v>
      </c>
      <c r="B217" s="18" t="s">
        <v>22</v>
      </c>
      <c r="C217" s="18">
        <v>1983</v>
      </c>
      <c r="D217" s="18">
        <v>150</v>
      </c>
      <c r="E217" s="18">
        <v>1</v>
      </c>
      <c r="F217" s="29">
        <v>0.8</v>
      </c>
      <c r="G217" s="86">
        <f t="shared" si="49"/>
        <v>1.1600000000000001</v>
      </c>
      <c r="H217" s="86">
        <v>1</v>
      </c>
      <c r="I217" s="86">
        <f t="shared" si="50"/>
        <v>1.1600000000000001</v>
      </c>
      <c r="J217" s="95">
        <f t="shared" si="51"/>
        <v>131.08</v>
      </c>
      <c r="K217" s="94">
        <v>0.799034</v>
      </c>
      <c r="L217" s="21">
        <v>250000</v>
      </c>
      <c r="M217" s="94">
        <v>0.819373</v>
      </c>
      <c r="N217" s="39">
        <v>28125</v>
      </c>
      <c r="O217" s="94">
        <f t="shared" si="52"/>
        <v>0.799034</v>
      </c>
      <c r="P217" s="19"/>
      <c r="Q217" s="99">
        <f t="shared" si="53"/>
        <v>199758.5</v>
      </c>
      <c r="R217" s="100">
        <f t="shared" si="54"/>
        <v>23044.865625000002</v>
      </c>
      <c r="S217" s="100">
        <f t="shared" si="55"/>
        <v>0</v>
      </c>
      <c r="U217" s="62"/>
    </row>
    <row r="218" spans="1:21" ht="12.75">
      <c r="A218" s="18">
        <v>6</v>
      </c>
      <c r="B218" s="18" t="s">
        <v>22</v>
      </c>
      <c r="C218" s="18">
        <v>1983</v>
      </c>
      <c r="D218" s="18">
        <v>150</v>
      </c>
      <c r="E218" s="18">
        <v>1</v>
      </c>
      <c r="F218" s="29">
        <v>0.8</v>
      </c>
      <c r="G218" s="86">
        <f t="shared" si="49"/>
        <v>1.1600000000000001</v>
      </c>
      <c r="H218" s="86">
        <v>1</v>
      </c>
      <c r="I218" s="86">
        <f t="shared" si="50"/>
        <v>1.1600000000000001</v>
      </c>
      <c r="J218" s="95">
        <f t="shared" si="51"/>
        <v>131.08</v>
      </c>
      <c r="K218" s="94">
        <v>0.799034</v>
      </c>
      <c r="L218" s="23">
        <v>132000</v>
      </c>
      <c r="M218" s="94">
        <v>0.819373</v>
      </c>
      <c r="N218" s="39">
        <v>14850</v>
      </c>
      <c r="O218" s="94">
        <f t="shared" si="52"/>
        <v>0.799034</v>
      </c>
      <c r="P218" s="19"/>
      <c r="Q218" s="99">
        <f t="shared" si="53"/>
        <v>105472.488</v>
      </c>
      <c r="R218" s="100">
        <f t="shared" si="54"/>
        <v>12167.68905</v>
      </c>
      <c r="S218" s="100">
        <f t="shared" si="55"/>
        <v>0</v>
      </c>
      <c r="U218" s="62"/>
    </row>
    <row r="219" spans="1:21" ht="12.75">
      <c r="A219" s="18">
        <v>7</v>
      </c>
      <c r="B219" s="18" t="s">
        <v>22</v>
      </c>
      <c r="C219" s="18">
        <v>1983</v>
      </c>
      <c r="D219" s="18">
        <v>150</v>
      </c>
      <c r="E219" s="18">
        <v>1</v>
      </c>
      <c r="F219" s="29">
        <v>0.8</v>
      </c>
      <c r="G219" s="86">
        <f t="shared" si="49"/>
        <v>1.1600000000000001</v>
      </c>
      <c r="H219" s="86">
        <v>1</v>
      </c>
      <c r="I219" s="86">
        <f t="shared" si="50"/>
        <v>1.1600000000000001</v>
      </c>
      <c r="J219" s="95">
        <f t="shared" si="51"/>
        <v>131.08</v>
      </c>
      <c r="K219" s="94">
        <v>0.799034</v>
      </c>
      <c r="L219" s="21">
        <v>524000</v>
      </c>
      <c r="M219" s="94">
        <v>0.819373</v>
      </c>
      <c r="N219" s="39">
        <v>58950</v>
      </c>
      <c r="O219" s="94">
        <f t="shared" si="52"/>
        <v>0.799034</v>
      </c>
      <c r="P219" s="19"/>
      <c r="Q219" s="99">
        <f t="shared" si="53"/>
        <v>418693.816</v>
      </c>
      <c r="R219" s="100">
        <f t="shared" si="54"/>
        <v>48302.03835</v>
      </c>
      <c r="S219" s="100">
        <f t="shared" si="55"/>
        <v>0</v>
      </c>
      <c r="U219" s="62"/>
    </row>
    <row r="220" spans="1:21" ht="12.75">
      <c r="A220" s="18">
        <v>8</v>
      </c>
      <c r="B220" s="18" t="s">
        <v>22</v>
      </c>
      <c r="C220" s="18">
        <v>1983</v>
      </c>
      <c r="D220" s="18">
        <v>150</v>
      </c>
      <c r="E220" s="18">
        <v>1</v>
      </c>
      <c r="F220" s="29">
        <v>0.8</v>
      </c>
      <c r="G220" s="86">
        <f t="shared" si="49"/>
        <v>1.1600000000000001</v>
      </c>
      <c r="H220" s="86">
        <v>1</v>
      </c>
      <c r="I220" s="86">
        <f t="shared" si="50"/>
        <v>1.1600000000000001</v>
      </c>
      <c r="J220" s="95">
        <f t="shared" si="51"/>
        <v>131.08</v>
      </c>
      <c r="K220" s="94">
        <v>0.799034</v>
      </c>
      <c r="L220" s="21">
        <v>12000</v>
      </c>
      <c r="M220" s="94">
        <v>0.819373</v>
      </c>
      <c r="N220" s="39"/>
      <c r="O220" s="94">
        <f t="shared" si="52"/>
        <v>0.799034</v>
      </c>
      <c r="P220" s="19"/>
      <c r="Q220" s="99">
        <f t="shared" si="53"/>
        <v>9588.408</v>
      </c>
      <c r="R220" s="100">
        <f t="shared" si="54"/>
        <v>0</v>
      </c>
      <c r="S220" s="100">
        <f t="shared" si="55"/>
        <v>0</v>
      </c>
      <c r="U220" s="62"/>
    </row>
    <row r="221" spans="1:21" ht="12.75">
      <c r="A221" s="18">
        <v>9</v>
      </c>
      <c r="B221" s="18" t="s">
        <v>22</v>
      </c>
      <c r="C221" s="18" t="s">
        <v>44</v>
      </c>
      <c r="D221" s="18">
        <v>400</v>
      </c>
      <c r="E221" s="18">
        <v>1.67</v>
      </c>
      <c r="F221" s="92">
        <v>1</v>
      </c>
      <c r="G221" s="86">
        <f t="shared" si="49"/>
        <v>1.2</v>
      </c>
      <c r="H221" s="86">
        <v>1</v>
      </c>
      <c r="I221" s="86">
        <f t="shared" si="50"/>
        <v>1.2</v>
      </c>
      <c r="J221" s="95">
        <f t="shared" si="51"/>
        <v>135.6</v>
      </c>
      <c r="K221" s="94">
        <v>0.946381</v>
      </c>
      <c r="L221" s="21">
        <v>112000</v>
      </c>
      <c r="M221" s="94">
        <v>0.955035</v>
      </c>
      <c r="N221" s="39">
        <v>12600</v>
      </c>
      <c r="O221" s="94">
        <f t="shared" si="52"/>
        <v>0.946381</v>
      </c>
      <c r="P221" s="19"/>
      <c r="Q221" s="99">
        <f t="shared" si="53"/>
        <v>105994.672</v>
      </c>
      <c r="R221" s="100">
        <f t="shared" si="54"/>
        <v>12033.440999999999</v>
      </c>
      <c r="S221" s="100">
        <f t="shared" si="55"/>
        <v>0</v>
      </c>
      <c r="U221" s="62"/>
    </row>
    <row r="222" spans="1:21" ht="12.75">
      <c r="A222" s="18">
        <v>10</v>
      </c>
      <c r="B222" s="18" t="s">
        <v>22</v>
      </c>
      <c r="C222" s="18" t="s">
        <v>44</v>
      </c>
      <c r="D222" s="18">
        <v>400</v>
      </c>
      <c r="E222" s="18">
        <v>1.67</v>
      </c>
      <c r="F222" s="92">
        <v>1</v>
      </c>
      <c r="G222" s="86">
        <f t="shared" si="49"/>
        <v>1.2</v>
      </c>
      <c r="H222" s="86">
        <v>1</v>
      </c>
      <c r="I222" s="86">
        <f t="shared" si="50"/>
        <v>1.2</v>
      </c>
      <c r="J222" s="95">
        <f t="shared" si="51"/>
        <v>135.6</v>
      </c>
      <c r="K222" s="94">
        <v>0.946381</v>
      </c>
      <c r="L222" s="23">
        <v>218000</v>
      </c>
      <c r="M222" s="94">
        <v>0.955035</v>
      </c>
      <c r="N222" s="39">
        <v>24525</v>
      </c>
      <c r="O222" s="94">
        <f t="shared" si="52"/>
        <v>0.946381</v>
      </c>
      <c r="P222" s="19"/>
      <c r="Q222" s="99">
        <f t="shared" si="53"/>
        <v>206311.05800000002</v>
      </c>
      <c r="R222" s="100">
        <f t="shared" si="54"/>
        <v>23422.233375</v>
      </c>
      <c r="S222" s="100">
        <f t="shared" si="55"/>
        <v>0</v>
      </c>
      <c r="U222" s="62"/>
    </row>
    <row r="223" spans="1:21" ht="12.75">
      <c r="A223" s="18">
        <v>11</v>
      </c>
      <c r="B223" s="18" t="s">
        <v>22</v>
      </c>
      <c r="C223" s="18" t="s">
        <v>44</v>
      </c>
      <c r="D223" s="18">
        <v>400</v>
      </c>
      <c r="E223" s="18">
        <v>1.67</v>
      </c>
      <c r="F223" s="92">
        <v>1</v>
      </c>
      <c r="G223" s="86">
        <f t="shared" si="49"/>
        <v>1.2</v>
      </c>
      <c r="H223" s="86">
        <v>1</v>
      </c>
      <c r="I223" s="86">
        <f t="shared" si="50"/>
        <v>1.2</v>
      </c>
      <c r="J223" s="95">
        <f t="shared" si="51"/>
        <v>135.6</v>
      </c>
      <c r="K223" s="94">
        <v>0.946381</v>
      </c>
      <c r="L223" s="23">
        <v>128947</v>
      </c>
      <c r="M223" s="94">
        <v>0.955035</v>
      </c>
      <c r="N223" s="39">
        <v>14506.5375</v>
      </c>
      <c r="O223" s="94">
        <f t="shared" si="52"/>
        <v>0.946381</v>
      </c>
      <c r="P223" s="19"/>
      <c r="Q223" s="99">
        <f t="shared" si="53"/>
        <v>122032.99080700001</v>
      </c>
      <c r="R223" s="100">
        <f t="shared" si="54"/>
        <v>13854.2510413125</v>
      </c>
      <c r="S223" s="100">
        <f t="shared" si="55"/>
        <v>0</v>
      </c>
      <c r="U223" s="62"/>
    </row>
    <row r="224" spans="1:21" ht="12.75">
      <c r="A224" s="18">
        <v>12</v>
      </c>
      <c r="B224" s="18" t="s">
        <v>22</v>
      </c>
      <c r="C224" s="18" t="s">
        <v>44</v>
      </c>
      <c r="D224" s="18">
        <v>400</v>
      </c>
      <c r="E224" s="18">
        <v>1.67</v>
      </c>
      <c r="F224" s="92">
        <v>1</v>
      </c>
      <c r="G224" s="86">
        <f t="shared" si="49"/>
        <v>1.2</v>
      </c>
      <c r="H224" s="86">
        <v>1</v>
      </c>
      <c r="I224" s="86">
        <f t="shared" si="50"/>
        <v>1.2</v>
      </c>
      <c r="J224" s="95">
        <f t="shared" si="51"/>
        <v>135.6</v>
      </c>
      <c r="K224" s="94">
        <v>0.946381</v>
      </c>
      <c r="L224" s="21">
        <v>260000</v>
      </c>
      <c r="M224" s="94">
        <v>0.955035</v>
      </c>
      <c r="N224" s="39">
        <v>29250</v>
      </c>
      <c r="O224" s="94">
        <f t="shared" si="52"/>
        <v>0.946381</v>
      </c>
      <c r="P224" s="19"/>
      <c r="Q224" s="99">
        <f t="shared" si="53"/>
        <v>246059.06</v>
      </c>
      <c r="R224" s="100">
        <f t="shared" si="54"/>
        <v>27934.77375</v>
      </c>
      <c r="S224" s="100">
        <f t="shared" si="55"/>
        <v>0</v>
      </c>
      <c r="U224" s="62"/>
    </row>
    <row r="225" spans="1:21" ht="12.75">
      <c r="A225" s="18">
        <v>13</v>
      </c>
      <c r="B225" s="18" t="s">
        <v>22</v>
      </c>
      <c r="C225" s="18" t="s">
        <v>44</v>
      </c>
      <c r="D225" s="18">
        <v>400</v>
      </c>
      <c r="E225" s="18">
        <v>1.67</v>
      </c>
      <c r="F225" s="92">
        <v>1</v>
      </c>
      <c r="G225" s="86">
        <f t="shared" si="49"/>
        <v>1.2</v>
      </c>
      <c r="H225" s="86">
        <v>1</v>
      </c>
      <c r="I225" s="86">
        <f t="shared" si="50"/>
        <v>1.2</v>
      </c>
      <c r="J225" s="95">
        <f t="shared" si="51"/>
        <v>135.6</v>
      </c>
      <c r="K225" s="94">
        <v>0.946381</v>
      </c>
      <c r="L225" s="21">
        <v>52000</v>
      </c>
      <c r="M225" s="94">
        <v>0.955035</v>
      </c>
      <c r="N225" s="39">
        <v>5850</v>
      </c>
      <c r="O225" s="94">
        <f t="shared" si="52"/>
        <v>0.946381</v>
      </c>
      <c r="P225" s="19"/>
      <c r="Q225" s="99">
        <f t="shared" si="53"/>
        <v>49211.812</v>
      </c>
      <c r="R225" s="100">
        <f t="shared" si="54"/>
        <v>5586.95475</v>
      </c>
      <c r="S225" s="100">
        <f t="shared" si="55"/>
        <v>0</v>
      </c>
      <c r="U225" s="62"/>
    </row>
    <row r="226" spans="1:21" ht="12.75">
      <c r="A226" s="18">
        <v>14</v>
      </c>
      <c r="B226" s="18" t="s">
        <v>22</v>
      </c>
      <c r="C226" s="18" t="s">
        <v>44</v>
      </c>
      <c r="D226" s="18">
        <v>400</v>
      </c>
      <c r="E226" s="18">
        <v>1.67</v>
      </c>
      <c r="F226" s="92">
        <v>1</v>
      </c>
      <c r="G226" s="86">
        <f t="shared" si="49"/>
        <v>1.2</v>
      </c>
      <c r="H226" s="86">
        <v>1</v>
      </c>
      <c r="I226" s="86">
        <f t="shared" si="50"/>
        <v>1.2</v>
      </c>
      <c r="J226" s="95">
        <f t="shared" si="51"/>
        <v>135.6</v>
      </c>
      <c r="K226" s="94">
        <v>0.946381</v>
      </c>
      <c r="L226" s="21">
        <v>116000</v>
      </c>
      <c r="M226" s="94">
        <v>0.955035</v>
      </c>
      <c r="N226" s="39">
        <v>13050</v>
      </c>
      <c r="O226" s="94">
        <f t="shared" si="52"/>
        <v>0.946381</v>
      </c>
      <c r="P226" s="19"/>
      <c r="Q226" s="99">
        <f t="shared" si="53"/>
        <v>109780.196</v>
      </c>
      <c r="R226" s="100">
        <f t="shared" si="54"/>
        <v>12463.20675</v>
      </c>
      <c r="S226" s="100">
        <f t="shared" si="55"/>
        <v>0</v>
      </c>
      <c r="U226" s="62"/>
    </row>
    <row r="227" spans="1:21" ht="12.75">
      <c r="A227" s="18">
        <v>15</v>
      </c>
      <c r="B227" s="18" t="s">
        <v>98</v>
      </c>
      <c r="C227" s="18">
        <v>1982</v>
      </c>
      <c r="D227" s="18">
        <v>800</v>
      </c>
      <c r="E227" s="18">
        <v>0.8</v>
      </c>
      <c r="F227" s="29">
        <v>0.8</v>
      </c>
      <c r="G227" s="86">
        <f t="shared" si="49"/>
        <v>1.1600000000000001</v>
      </c>
      <c r="H227" s="86">
        <v>1</v>
      </c>
      <c r="I227" s="86">
        <f t="shared" si="50"/>
        <v>1.1600000000000001</v>
      </c>
      <c r="J227" s="95">
        <f t="shared" si="51"/>
        <v>131.08</v>
      </c>
      <c r="K227" s="94">
        <v>0.964928</v>
      </c>
      <c r="L227" s="21">
        <v>190000</v>
      </c>
      <c r="M227" s="94">
        <v>0.966936</v>
      </c>
      <c r="N227" s="39">
        <v>21375</v>
      </c>
      <c r="O227" s="94">
        <f t="shared" si="52"/>
        <v>0.964928</v>
      </c>
      <c r="P227" s="19"/>
      <c r="Q227" s="99">
        <f t="shared" si="53"/>
        <v>183336.32</v>
      </c>
      <c r="R227" s="100">
        <f t="shared" si="54"/>
        <v>20668.257</v>
      </c>
      <c r="S227" s="100">
        <f t="shared" si="55"/>
        <v>0</v>
      </c>
      <c r="U227" s="62"/>
    </row>
    <row r="228" spans="1:21" ht="12.75">
      <c r="A228" s="18">
        <v>16</v>
      </c>
      <c r="B228" s="18" t="s">
        <v>98</v>
      </c>
      <c r="C228" s="18">
        <v>1982</v>
      </c>
      <c r="D228" s="18">
        <v>800</v>
      </c>
      <c r="E228" s="18">
        <v>0.8</v>
      </c>
      <c r="F228" s="29">
        <v>0.8</v>
      </c>
      <c r="G228" s="86">
        <f t="shared" si="49"/>
        <v>1.1600000000000001</v>
      </c>
      <c r="H228" s="86">
        <v>1</v>
      </c>
      <c r="I228" s="86">
        <f t="shared" si="50"/>
        <v>1.1600000000000001</v>
      </c>
      <c r="J228" s="95">
        <f t="shared" si="51"/>
        <v>131.08</v>
      </c>
      <c r="K228" s="94">
        <v>0.964928</v>
      </c>
      <c r="L228" s="21">
        <v>160000</v>
      </c>
      <c r="M228" s="94">
        <v>0.966936</v>
      </c>
      <c r="N228" s="39">
        <v>18000</v>
      </c>
      <c r="O228" s="94">
        <f t="shared" si="52"/>
        <v>0.964928</v>
      </c>
      <c r="P228" s="19"/>
      <c r="Q228" s="99">
        <f t="shared" si="53"/>
        <v>154388.48</v>
      </c>
      <c r="R228" s="100">
        <f t="shared" si="54"/>
        <v>17404.848</v>
      </c>
      <c r="S228" s="100">
        <f t="shared" si="55"/>
        <v>0</v>
      </c>
      <c r="U228" s="62"/>
    </row>
    <row r="229" spans="1:21" ht="12.75">
      <c r="A229" s="18">
        <v>17</v>
      </c>
      <c r="B229" s="18" t="s">
        <v>99</v>
      </c>
      <c r="C229" s="18">
        <v>1982</v>
      </c>
      <c r="D229" s="18">
        <v>1000</v>
      </c>
      <c r="E229" s="18">
        <f>5*0.63</f>
        <v>3.15</v>
      </c>
      <c r="F229" s="92">
        <v>1</v>
      </c>
      <c r="G229" s="86">
        <f t="shared" si="49"/>
        <v>1.2</v>
      </c>
      <c r="H229" s="86">
        <v>1</v>
      </c>
      <c r="I229" s="86">
        <f t="shared" si="50"/>
        <v>1.2</v>
      </c>
      <c r="J229" s="95">
        <f t="shared" si="51"/>
        <v>135.6</v>
      </c>
      <c r="K229" s="94">
        <v>0.980751</v>
      </c>
      <c r="L229" s="21">
        <v>315000</v>
      </c>
      <c r="M229" s="94">
        <v>0.97518</v>
      </c>
      <c r="N229" s="39">
        <v>35437.5</v>
      </c>
      <c r="O229" s="94">
        <f t="shared" si="52"/>
        <v>0.980751</v>
      </c>
      <c r="P229" s="19"/>
      <c r="Q229" s="99">
        <f t="shared" si="53"/>
        <v>308936.565</v>
      </c>
      <c r="R229" s="100">
        <f t="shared" si="54"/>
        <v>34557.94125</v>
      </c>
      <c r="S229" s="100">
        <f t="shared" si="55"/>
        <v>0</v>
      </c>
      <c r="U229" s="62"/>
    </row>
    <row r="230" spans="1:21" ht="12.75">
      <c r="A230" s="18">
        <v>18</v>
      </c>
      <c r="B230" s="18" t="s">
        <v>99</v>
      </c>
      <c r="C230" s="18">
        <v>1982</v>
      </c>
      <c r="D230" s="18">
        <v>1000</v>
      </c>
      <c r="E230" s="18">
        <v>3.15</v>
      </c>
      <c r="F230" s="92">
        <v>1</v>
      </c>
      <c r="G230" s="86">
        <f t="shared" si="49"/>
        <v>1.2</v>
      </c>
      <c r="H230" s="86">
        <v>1</v>
      </c>
      <c r="I230" s="86">
        <f t="shared" si="50"/>
        <v>1.2</v>
      </c>
      <c r="J230" s="95">
        <f t="shared" si="51"/>
        <v>135.6</v>
      </c>
      <c r="K230" s="94">
        <v>0.980751</v>
      </c>
      <c r="L230" s="21">
        <v>315000</v>
      </c>
      <c r="M230" s="94">
        <v>0.97518</v>
      </c>
      <c r="N230" s="39">
        <v>35437.5</v>
      </c>
      <c r="O230" s="94">
        <f t="shared" si="52"/>
        <v>0.980751</v>
      </c>
      <c r="P230" s="19"/>
      <c r="Q230" s="99">
        <f t="shared" si="53"/>
        <v>308936.565</v>
      </c>
      <c r="R230" s="100">
        <f t="shared" si="54"/>
        <v>34557.94125</v>
      </c>
      <c r="S230" s="100">
        <f t="shared" si="55"/>
        <v>0</v>
      </c>
      <c r="U230" s="62"/>
    </row>
    <row r="231" spans="1:21" ht="12.75">
      <c r="A231" s="18">
        <v>19</v>
      </c>
      <c r="B231" s="18" t="s">
        <v>100</v>
      </c>
      <c r="C231" s="18">
        <v>1982</v>
      </c>
      <c r="D231" s="18">
        <v>150</v>
      </c>
      <c r="E231" s="18">
        <v>0.5</v>
      </c>
      <c r="F231" s="29">
        <v>0.7</v>
      </c>
      <c r="G231" s="86">
        <f t="shared" si="49"/>
        <v>1.14</v>
      </c>
      <c r="H231" s="86">
        <v>1</v>
      </c>
      <c r="I231" s="86">
        <f t="shared" si="50"/>
        <v>1.14</v>
      </c>
      <c r="J231" s="95">
        <f t="shared" si="51"/>
        <v>128.82</v>
      </c>
      <c r="K231" s="94">
        <v>0.770707</v>
      </c>
      <c r="L231" s="21">
        <v>505000</v>
      </c>
      <c r="M231" s="94">
        <v>0.787547</v>
      </c>
      <c r="N231" s="39">
        <v>56812.5</v>
      </c>
      <c r="O231" s="94">
        <f t="shared" si="52"/>
        <v>0.770707</v>
      </c>
      <c r="P231" s="19"/>
      <c r="Q231" s="99">
        <f t="shared" si="53"/>
        <v>389207.03500000003</v>
      </c>
      <c r="R231" s="100">
        <f t="shared" si="54"/>
        <v>44742.5139375</v>
      </c>
      <c r="S231" s="100">
        <f t="shared" si="55"/>
        <v>0</v>
      </c>
      <c r="U231" s="62"/>
    </row>
    <row r="232" spans="1:21" ht="12.75">
      <c r="A232" s="18">
        <v>20</v>
      </c>
      <c r="B232" s="18" t="s">
        <v>101</v>
      </c>
      <c r="C232" s="18">
        <v>1983</v>
      </c>
      <c r="D232" s="18">
        <v>15</v>
      </c>
      <c r="E232" s="18">
        <v>0.3</v>
      </c>
      <c r="F232" s="29">
        <v>0.65</v>
      </c>
      <c r="G232" s="86">
        <f t="shared" si="49"/>
        <v>1.13</v>
      </c>
      <c r="H232" s="86">
        <v>1</v>
      </c>
      <c r="I232" s="86">
        <f t="shared" si="50"/>
        <v>1.13</v>
      </c>
      <c r="J232" s="95">
        <f t="shared" si="51"/>
        <v>127.68999999999998</v>
      </c>
      <c r="K232" s="94">
        <v>0.360819</v>
      </c>
      <c r="L232" s="21">
        <v>2000000</v>
      </c>
      <c r="M232" s="94">
        <v>0.203078</v>
      </c>
      <c r="N232" s="39">
        <v>225000</v>
      </c>
      <c r="O232" s="94">
        <f t="shared" si="52"/>
        <v>0.360819</v>
      </c>
      <c r="P232" s="19"/>
      <c r="Q232" s="99">
        <f t="shared" si="53"/>
        <v>721638</v>
      </c>
      <c r="R232" s="100">
        <f t="shared" si="54"/>
        <v>45692.55</v>
      </c>
      <c r="S232" s="100">
        <f t="shared" si="55"/>
        <v>0</v>
      </c>
      <c r="U232" s="62"/>
    </row>
    <row r="233" spans="1:21" ht="12.75">
      <c r="A233" s="18">
        <v>21</v>
      </c>
      <c r="B233" s="18" t="s">
        <v>102</v>
      </c>
      <c r="C233" s="18">
        <v>1972</v>
      </c>
      <c r="D233" s="18">
        <v>150</v>
      </c>
      <c r="E233" s="18">
        <v>0.75</v>
      </c>
      <c r="F233" s="29">
        <v>0.8</v>
      </c>
      <c r="G233" s="86">
        <f t="shared" si="49"/>
        <v>1.1600000000000001</v>
      </c>
      <c r="H233" s="86">
        <v>1</v>
      </c>
      <c r="I233" s="86">
        <f t="shared" si="50"/>
        <v>1.1600000000000001</v>
      </c>
      <c r="J233" s="95">
        <f t="shared" si="51"/>
        <v>131.08</v>
      </c>
      <c r="K233" s="94">
        <v>0.799034</v>
      </c>
      <c r="L233" s="21">
        <v>328000</v>
      </c>
      <c r="M233" s="94">
        <v>0.819373</v>
      </c>
      <c r="N233" s="39">
        <v>36900</v>
      </c>
      <c r="O233" s="94">
        <f t="shared" si="52"/>
        <v>0.799034</v>
      </c>
      <c r="P233" s="19"/>
      <c r="Q233" s="99">
        <f t="shared" si="53"/>
        <v>262083.152</v>
      </c>
      <c r="R233" s="100">
        <f t="shared" si="54"/>
        <v>30234.8637</v>
      </c>
      <c r="S233" s="100">
        <f t="shared" si="55"/>
        <v>0</v>
      </c>
      <c r="U233" s="62"/>
    </row>
    <row r="234" spans="1:21" ht="12.75">
      <c r="A234" s="18">
        <v>22</v>
      </c>
      <c r="B234" s="18" t="s">
        <v>102</v>
      </c>
      <c r="C234" s="18">
        <v>1972</v>
      </c>
      <c r="D234" s="18">
        <v>150</v>
      </c>
      <c r="E234" s="18">
        <v>0.75</v>
      </c>
      <c r="F234" s="29">
        <v>0.8</v>
      </c>
      <c r="G234" s="86">
        <f t="shared" si="49"/>
        <v>1.1600000000000001</v>
      </c>
      <c r="H234" s="86">
        <v>1</v>
      </c>
      <c r="I234" s="86">
        <f t="shared" si="50"/>
        <v>1.1600000000000001</v>
      </c>
      <c r="J234" s="95">
        <f t="shared" si="51"/>
        <v>131.08</v>
      </c>
      <c r="K234" s="94">
        <v>0.799034</v>
      </c>
      <c r="L234" s="21">
        <v>43000</v>
      </c>
      <c r="M234" s="94">
        <v>0.819373</v>
      </c>
      <c r="N234" s="39">
        <v>4837.5</v>
      </c>
      <c r="O234" s="94">
        <f t="shared" si="52"/>
        <v>0.799034</v>
      </c>
      <c r="P234" s="19"/>
      <c r="Q234" s="99">
        <f t="shared" si="53"/>
        <v>34358.462</v>
      </c>
      <c r="R234" s="100">
        <f t="shared" si="54"/>
        <v>3963.7168875</v>
      </c>
      <c r="S234" s="100">
        <f t="shared" si="55"/>
        <v>0</v>
      </c>
      <c r="U234" s="62"/>
    </row>
    <row r="235" spans="1:21" ht="12.75">
      <c r="A235" s="18">
        <v>23</v>
      </c>
      <c r="B235" s="18" t="s">
        <v>102</v>
      </c>
      <c r="C235" s="18">
        <v>1972</v>
      </c>
      <c r="D235" s="18">
        <v>150</v>
      </c>
      <c r="E235" s="18">
        <v>0.75</v>
      </c>
      <c r="F235" s="29">
        <v>0.8</v>
      </c>
      <c r="G235" s="86">
        <f t="shared" si="49"/>
        <v>1.1600000000000001</v>
      </c>
      <c r="H235" s="86">
        <v>1</v>
      </c>
      <c r="I235" s="86">
        <f t="shared" si="50"/>
        <v>1.1600000000000001</v>
      </c>
      <c r="J235" s="95">
        <f t="shared" si="51"/>
        <v>131.08</v>
      </c>
      <c r="K235" s="94">
        <v>0.799034</v>
      </c>
      <c r="L235" s="21">
        <v>165000</v>
      </c>
      <c r="M235" s="94">
        <v>0.819373</v>
      </c>
      <c r="N235" s="39">
        <v>18562.5</v>
      </c>
      <c r="O235" s="94">
        <f t="shared" si="52"/>
        <v>0.799034</v>
      </c>
      <c r="P235" s="19"/>
      <c r="Q235" s="99">
        <f t="shared" si="53"/>
        <v>131840.61000000002</v>
      </c>
      <c r="R235" s="100">
        <f t="shared" si="54"/>
        <v>15209.611312500001</v>
      </c>
      <c r="S235" s="100">
        <f t="shared" si="55"/>
        <v>0</v>
      </c>
      <c r="U235" s="62"/>
    </row>
    <row r="236" spans="1:21" ht="12.75">
      <c r="A236" s="18">
        <v>24</v>
      </c>
      <c r="B236" s="18" t="s">
        <v>102</v>
      </c>
      <c r="C236" s="18">
        <v>1972</v>
      </c>
      <c r="D236" s="18">
        <v>150</v>
      </c>
      <c r="E236" s="18">
        <v>0.75</v>
      </c>
      <c r="F236" s="29">
        <v>0.8</v>
      </c>
      <c r="G236" s="86">
        <f t="shared" si="49"/>
        <v>1.1600000000000001</v>
      </c>
      <c r="H236" s="86">
        <v>1</v>
      </c>
      <c r="I236" s="86">
        <f t="shared" si="50"/>
        <v>1.1600000000000001</v>
      </c>
      <c r="J236" s="95">
        <f t="shared" si="51"/>
        <v>131.08</v>
      </c>
      <c r="K236" s="94">
        <v>0.799034</v>
      </c>
      <c r="L236" s="21">
        <v>8000</v>
      </c>
      <c r="M236" s="94">
        <v>0.819373</v>
      </c>
      <c r="N236" s="39"/>
      <c r="O236" s="94">
        <f t="shared" si="52"/>
        <v>0.799034</v>
      </c>
      <c r="P236" s="19"/>
      <c r="Q236" s="99">
        <f t="shared" si="53"/>
        <v>6392.272</v>
      </c>
      <c r="R236" s="100">
        <f t="shared" si="54"/>
        <v>0</v>
      </c>
      <c r="S236" s="100">
        <f t="shared" si="55"/>
        <v>0</v>
      </c>
      <c r="U236" s="62"/>
    </row>
    <row r="237" spans="1:21" ht="12.75">
      <c r="A237" s="18">
        <v>25</v>
      </c>
      <c r="B237" s="18" t="s">
        <v>102</v>
      </c>
      <c r="C237" s="18">
        <v>1972</v>
      </c>
      <c r="D237" s="18">
        <v>150</v>
      </c>
      <c r="E237" s="18">
        <v>0.75</v>
      </c>
      <c r="F237" s="29">
        <v>0.8</v>
      </c>
      <c r="G237" s="86">
        <f t="shared" si="49"/>
        <v>1.1600000000000001</v>
      </c>
      <c r="H237" s="86">
        <v>1</v>
      </c>
      <c r="I237" s="86">
        <f t="shared" si="50"/>
        <v>1.1600000000000001</v>
      </c>
      <c r="J237" s="95">
        <f t="shared" si="51"/>
        <v>131.08</v>
      </c>
      <c r="K237" s="94">
        <v>0.799034</v>
      </c>
      <c r="L237" s="23">
        <v>2800000</v>
      </c>
      <c r="M237" s="94">
        <v>0.819373</v>
      </c>
      <c r="N237" s="39">
        <v>315000</v>
      </c>
      <c r="O237" s="94">
        <f t="shared" si="52"/>
        <v>0.799034</v>
      </c>
      <c r="P237" s="19"/>
      <c r="Q237" s="99">
        <f t="shared" si="53"/>
        <v>2237295.2</v>
      </c>
      <c r="R237" s="100">
        <f t="shared" si="54"/>
        <v>258102.495</v>
      </c>
      <c r="S237" s="100">
        <f t="shared" si="55"/>
        <v>0</v>
      </c>
      <c r="U237" s="62"/>
    </row>
    <row r="238" spans="11:21" ht="12.75">
      <c r="K238" s="24"/>
      <c r="L238" s="4"/>
      <c r="M238" s="24"/>
      <c r="N238" s="4"/>
      <c r="U238" s="80"/>
    </row>
    <row r="239" spans="1:21" s="24" customFormat="1" ht="12">
      <c r="A239" s="18">
        <v>1</v>
      </c>
      <c r="B239" s="18">
        <v>2</v>
      </c>
      <c r="C239" s="18">
        <v>3</v>
      </c>
      <c r="D239" s="18">
        <v>4</v>
      </c>
      <c r="E239" s="18">
        <v>5</v>
      </c>
      <c r="F239" s="85" t="s">
        <v>204</v>
      </c>
      <c r="G239" s="85" t="s">
        <v>205</v>
      </c>
      <c r="H239" s="41" t="s">
        <v>206</v>
      </c>
      <c r="I239" s="18" t="s">
        <v>207</v>
      </c>
      <c r="J239" s="18">
        <v>6</v>
      </c>
      <c r="K239" s="18">
        <v>25</v>
      </c>
      <c r="L239" s="18">
        <v>26</v>
      </c>
      <c r="M239" s="18">
        <v>28</v>
      </c>
      <c r="N239" s="18">
        <v>29</v>
      </c>
      <c r="O239" s="18">
        <v>30</v>
      </c>
      <c r="P239" s="18">
        <v>31</v>
      </c>
      <c r="Q239" s="18">
        <v>32</v>
      </c>
      <c r="R239" s="18">
        <v>33</v>
      </c>
      <c r="S239" s="18">
        <v>34</v>
      </c>
      <c r="U239" s="62"/>
    </row>
    <row r="240" spans="1:21" ht="12">
      <c r="A240" s="2" t="s">
        <v>190</v>
      </c>
      <c r="B240" s="36" t="s">
        <v>13</v>
      </c>
      <c r="C240" s="33" t="s">
        <v>14</v>
      </c>
      <c r="D240" s="36" t="s">
        <v>176</v>
      </c>
      <c r="E240" s="33" t="s">
        <v>15</v>
      </c>
      <c r="F240" s="36" t="s">
        <v>208</v>
      </c>
      <c r="G240" s="36"/>
      <c r="H240" s="32"/>
      <c r="I240" s="37"/>
      <c r="J240" s="36" t="s">
        <v>191</v>
      </c>
      <c r="K240" s="36" t="s">
        <v>192</v>
      </c>
      <c r="L240" s="36" t="s">
        <v>16</v>
      </c>
      <c r="M240" s="36" t="s">
        <v>193</v>
      </c>
      <c r="N240" s="33" t="s">
        <v>17</v>
      </c>
      <c r="O240" s="36" t="s">
        <v>194</v>
      </c>
      <c r="P240" s="36" t="s">
        <v>195</v>
      </c>
      <c r="Q240" s="33" t="s">
        <v>196</v>
      </c>
      <c r="R240" s="36" t="s">
        <v>193</v>
      </c>
      <c r="S240" s="36" t="s">
        <v>197</v>
      </c>
      <c r="U240" s="32"/>
    </row>
    <row r="241" spans="1:21" ht="12">
      <c r="A241" s="61"/>
      <c r="B241" s="37"/>
      <c r="C241" s="32" t="s">
        <v>18</v>
      </c>
      <c r="D241" s="37" t="s">
        <v>198</v>
      </c>
      <c r="E241" s="32" t="s">
        <v>19</v>
      </c>
      <c r="F241" s="37"/>
      <c r="G241" s="37"/>
      <c r="H241" s="32"/>
      <c r="I241" s="37"/>
      <c r="J241" s="37" t="s">
        <v>199</v>
      </c>
      <c r="K241" s="37" t="s">
        <v>200</v>
      </c>
      <c r="L241" s="37" t="s">
        <v>20</v>
      </c>
      <c r="M241" s="37" t="s">
        <v>200</v>
      </c>
      <c r="N241" s="32" t="s">
        <v>20</v>
      </c>
      <c r="O241" s="37" t="s">
        <v>200</v>
      </c>
      <c r="P241" s="37" t="s">
        <v>20</v>
      </c>
      <c r="Q241" s="32" t="s">
        <v>200</v>
      </c>
      <c r="R241" s="37" t="s">
        <v>200</v>
      </c>
      <c r="S241" s="37" t="s">
        <v>200</v>
      </c>
      <c r="U241" s="32"/>
    </row>
    <row r="242" spans="1:21" ht="12.75">
      <c r="A242" s="63"/>
      <c r="B242" s="29"/>
      <c r="C242" s="64"/>
      <c r="D242" s="29"/>
      <c r="E242" s="64"/>
      <c r="F242" s="29"/>
      <c r="G242" s="64"/>
      <c r="H242" s="10"/>
      <c r="I242" s="29"/>
      <c r="J242" s="38" t="s">
        <v>201</v>
      </c>
      <c r="K242" s="38" t="s">
        <v>202</v>
      </c>
      <c r="L242" s="29"/>
      <c r="M242" s="38" t="s">
        <v>202</v>
      </c>
      <c r="N242" s="64"/>
      <c r="O242" s="38" t="s">
        <v>202</v>
      </c>
      <c r="P242" s="29"/>
      <c r="Q242" s="64" t="s">
        <v>203</v>
      </c>
      <c r="R242" s="38" t="s">
        <v>203</v>
      </c>
      <c r="S242" s="29" t="s">
        <v>203</v>
      </c>
      <c r="U242" s="62"/>
    </row>
    <row r="243" spans="1:21" ht="12.75">
      <c r="A243" s="18">
        <v>1</v>
      </c>
      <c r="B243" s="18" t="s">
        <v>103</v>
      </c>
      <c r="C243" s="18">
        <v>1982</v>
      </c>
      <c r="D243" s="18">
        <v>50</v>
      </c>
      <c r="E243" s="18">
        <v>2</v>
      </c>
      <c r="F243" s="92">
        <v>1</v>
      </c>
      <c r="G243" s="86">
        <f>1+F243*(0.2)</f>
        <v>1.2</v>
      </c>
      <c r="H243" s="86">
        <v>1</v>
      </c>
      <c r="I243" s="86">
        <f aca="true" t="shared" si="56" ref="I243:I270">G243*H243</f>
        <v>1.2</v>
      </c>
      <c r="J243" s="95">
        <f>I243*113</f>
        <v>135.6</v>
      </c>
      <c r="K243" s="94">
        <v>0.675775</v>
      </c>
      <c r="L243" s="21">
        <v>1300000</v>
      </c>
      <c r="M243" s="94">
        <v>0.655034</v>
      </c>
      <c r="N243" s="39">
        <v>146250</v>
      </c>
      <c r="O243" s="94">
        <f aca="true" t="shared" si="57" ref="O243:O270">K243</f>
        <v>0.675775</v>
      </c>
      <c r="P243" s="19"/>
      <c r="Q243" s="99">
        <f aca="true" t="shared" si="58" ref="Q243:Q270">K243*L243</f>
        <v>878507.5</v>
      </c>
      <c r="R243" s="100">
        <f aca="true" t="shared" si="59" ref="R243:R270">M243*N243</f>
        <v>95798.7225</v>
      </c>
      <c r="S243" s="100">
        <f aca="true" t="shared" si="60" ref="S243:S270">O243*P243</f>
        <v>0</v>
      </c>
      <c r="U243" s="62"/>
    </row>
    <row r="244" spans="1:21" ht="12.75">
      <c r="A244" s="18">
        <v>2</v>
      </c>
      <c r="B244" s="18" t="s">
        <v>103</v>
      </c>
      <c r="C244" s="18">
        <v>1982</v>
      </c>
      <c r="D244" s="18">
        <v>150</v>
      </c>
      <c r="E244" s="18">
        <v>3</v>
      </c>
      <c r="F244" s="92">
        <v>1</v>
      </c>
      <c r="G244" s="86">
        <f>1+F244*(0.2)</f>
        <v>1.2</v>
      </c>
      <c r="H244" s="86">
        <v>1</v>
      </c>
      <c r="I244" s="86">
        <f t="shared" si="56"/>
        <v>1.2</v>
      </c>
      <c r="J244" s="95">
        <f>I244*113</f>
        <v>135.6</v>
      </c>
      <c r="K244" s="94">
        <v>0.842507</v>
      </c>
      <c r="L244" s="21">
        <v>520000</v>
      </c>
      <c r="M244" s="94">
        <v>0.865179</v>
      </c>
      <c r="N244" s="39">
        <v>58500</v>
      </c>
      <c r="O244" s="94">
        <f t="shared" si="57"/>
        <v>0.842507</v>
      </c>
      <c r="P244" s="19"/>
      <c r="Q244" s="99">
        <f t="shared" si="58"/>
        <v>438103.64</v>
      </c>
      <c r="R244" s="100">
        <f t="shared" si="59"/>
        <v>50612.9715</v>
      </c>
      <c r="S244" s="100">
        <f t="shared" si="60"/>
        <v>0</v>
      </c>
      <c r="U244" s="62"/>
    </row>
    <row r="245" spans="1:21" ht="12.75">
      <c r="A245" s="18">
        <v>3</v>
      </c>
      <c r="B245" s="18" t="s">
        <v>103</v>
      </c>
      <c r="C245" s="18">
        <v>1982</v>
      </c>
      <c r="D245" s="18">
        <v>150</v>
      </c>
      <c r="E245" s="18">
        <v>3</v>
      </c>
      <c r="F245" s="92">
        <v>1</v>
      </c>
      <c r="G245" s="86">
        <f>1+F245*(0.2)</f>
        <v>1.2</v>
      </c>
      <c r="H245" s="86">
        <v>1</v>
      </c>
      <c r="I245" s="86">
        <f t="shared" si="56"/>
        <v>1.2</v>
      </c>
      <c r="J245" s="95">
        <f>I245*113</f>
        <v>135.6</v>
      </c>
      <c r="K245" s="94">
        <v>0.842507</v>
      </c>
      <c r="L245" s="21">
        <v>206000</v>
      </c>
      <c r="M245" s="94">
        <v>0.865179</v>
      </c>
      <c r="N245" s="39">
        <v>23175</v>
      </c>
      <c r="O245" s="94">
        <f t="shared" si="57"/>
        <v>0.842507</v>
      </c>
      <c r="P245" s="19"/>
      <c r="Q245" s="99">
        <f t="shared" si="58"/>
        <v>173556.442</v>
      </c>
      <c r="R245" s="100">
        <f t="shared" si="59"/>
        <v>20050.523325000002</v>
      </c>
      <c r="S245" s="100">
        <f t="shared" si="60"/>
        <v>0</v>
      </c>
      <c r="U245" s="62"/>
    </row>
    <row r="246" spans="1:21" ht="12.75">
      <c r="A246" s="18">
        <v>4</v>
      </c>
      <c r="B246" s="18" t="s">
        <v>103</v>
      </c>
      <c r="C246" s="18">
        <v>1987</v>
      </c>
      <c r="D246" s="18">
        <v>150</v>
      </c>
      <c r="E246" s="18">
        <v>3</v>
      </c>
      <c r="F246" s="92">
        <v>1</v>
      </c>
      <c r="G246" s="86">
        <f>1+F246*(0.2)</f>
        <v>1.2</v>
      </c>
      <c r="H246" s="86">
        <v>1</v>
      </c>
      <c r="I246" s="86">
        <f t="shared" si="56"/>
        <v>1.2</v>
      </c>
      <c r="J246" s="95">
        <f>I246*113</f>
        <v>135.6</v>
      </c>
      <c r="K246" s="94">
        <v>0.842507</v>
      </c>
      <c r="L246" s="21">
        <v>75000</v>
      </c>
      <c r="M246" s="94">
        <v>0.865179</v>
      </c>
      <c r="N246" s="39">
        <v>8437.5</v>
      </c>
      <c r="O246" s="94">
        <f t="shared" si="57"/>
        <v>0.842507</v>
      </c>
      <c r="P246" s="19"/>
      <c r="Q246" s="99">
        <f t="shared" si="58"/>
        <v>63188.025</v>
      </c>
      <c r="R246" s="100">
        <f t="shared" si="59"/>
        <v>7299.9478125000005</v>
      </c>
      <c r="S246" s="100">
        <f t="shared" si="60"/>
        <v>0</v>
      </c>
      <c r="U246" s="62"/>
    </row>
    <row r="247" spans="1:21" ht="12.75">
      <c r="A247" s="18">
        <v>5</v>
      </c>
      <c r="B247" s="18" t="s">
        <v>104</v>
      </c>
      <c r="C247" s="18">
        <v>1985</v>
      </c>
      <c r="D247" s="18"/>
      <c r="E247" s="18"/>
      <c r="F247" s="92">
        <v>1</v>
      </c>
      <c r="G247" s="86">
        <f>1+F247*(0.2)</f>
        <v>1.2</v>
      </c>
      <c r="H247" s="86">
        <v>1</v>
      </c>
      <c r="I247" s="86">
        <f t="shared" si="56"/>
        <v>1.2</v>
      </c>
      <c r="J247" s="95">
        <f>I247*113</f>
        <v>135.6</v>
      </c>
      <c r="K247" s="94">
        <v>0.457627</v>
      </c>
      <c r="L247" s="21">
        <v>710000</v>
      </c>
      <c r="M247" s="94">
        <v>0.318679</v>
      </c>
      <c r="N247" s="39">
        <v>79875</v>
      </c>
      <c r="O247" s="94">
        <f t="shared" si="57"/>
        <v>0.457627</v>
      </c>
      <c r="P247" s="19"/>
      <c r="Q247" s="99">
        <f t="shared" si="58"/>
        <v>324915.17</v>
      </c>
      <c r="R247" s="100">
        <f t="shared" si="59"/>
        <v>25454.485125</v>
      </c>
      <c r="S247" s="100">
        <f t="shared" si="60"/>
        <v>0</v>
      </c>
      <c r="U247" s="62"/>
    </row>
    <row r="248" spans="1:21" ht="12.75">
      <c r="A248" s="18">
        <v>6</v>
      </c>
      <c r="B248" s="18" t="s">
        <v>105</v>
      </c>
      <c r="C248" s="18">
        <v>1969</v>
      </c>
      <c r="D248" s="18">
        <v>50</v>
      </c>
      <c r="E248" s="18">
        <v>0.5</v>
      </c>
      <c r="F248" s="29">
        <v>0.7</v>
      </c>
      <c r="G248" s="86">
        <f aca="true" t="shared" si="61" ref="G248:G270">1+F248*(0.2)</f>
        <v>1.14</v>
      </c>
      <c r="H248" s="86">
        <v>1</v>
      </c>
      <c r="I248" s="86">
        <f t="shared" si="56"/>
        <v>1.14</v>
      </c>
      <c r="J248" s="95">
        <f aca="true" t="shared" si="62" ref="J248:J270">I248*113</f>
        <v>128.82</v>
      </c>
      <c r="K248" s="94">
        <v>0.591659</v>
      </c>
      <c r="L248" s="23">
        <v>124000</v>
      </c>
      <c r="M248" s="94">
        <v>0.51564</v>
      </c>
      <c r="N248" s="39">
        <v>13950</v>
      </c>
      <c r="O248" s="94">
        <f t="shared" si="57"/>
        <v>0.591659</v>
      </c>
      <c r="P248" s="19"/>
      <c r="Q248" s="99">
        <f t="shared" si="58"/>
        <v>73365.716</v>
      </c>
      <c r="R248" s="100">
        <f t="shared" si="59"/>
        <v>7193.178</v>
      </c>
      <c r="S248" s="100">
        <f t="shared" si="60"/>
        <v>0</v>
      </c>
      <c r="U248" s="62"/>
    </row>
    <row r="249" spans="1:21" ht="12.75">
      <c r="A249" s="18">
        <v>7</v>
      </c>
      <c r="B249" s="18" t="s">
        <v>105</v>
      </c>
      <c r="C249" s="18">
        <v>1982</v>
      </c>
      <c r="D249" s="18">
        <v>50</v>
      </c>
      <c r="E249" s="18">
        <v>0.5</v>
      </c>
      <c r="F249" s="29">
        <v>0.7</v>
      </c>
      <c r="G249" s="86">
        <f t="shared" si="61"/>
        <v>1.14</v>
      </c>
      <c r="H249" s="86">
        <v>1</v>
      </c>
      <c r="I249" s="86">
        <f t="shared" si="56"/>
        <v>1.14</v>
      </c>
      <c r="J249" s="95">
        <f t="shared" si="62"/>
        <v>128.82</v>
      </c>
      <c r="K249" s="94">
        <v>0.591659</v>
      </c>
      <c r="L249" s="21">
        <v>621000</v>
      </c>
      <c r="M249" s="94">
        <v>0.51564</v>
      </c>
      <c r="N249" s="39">
        <v>69862.5</v>
      </c>
      <c r="O249" s="94">
        <f t="shared" si="57"/>
        <v>0.591659</v>
      </c>
      <c r="P249" s="19"/>
      <c r="Q249" s="99">
        <f t="shared" si="58"/>
        <v>367420.239</v>
      </c>
      <c r="R249" s="100">
        <f t="shared" si="59"/>
        <v>36023.8995</v>
      </c>
      <c r="S249" s="100">
        <f t="shared" si="60"/>
        <v>0</v>
      </c>
      <c r="U249" s="62"/>
    </row>
    <row r="250" spans="1:21" ht="12.75">
      <c r="A250" s="18">
        <v>8</v>
      </c>
      <c r="B250" s="18" t="s">
        <v>105</v>
      </c>
      <c r="C250" s="18" t="s">
        <v>44</v>
      </c>
      <c r="D250" s="18">
        <v>50</v>
      </c>
      <c r="E250" s="18">
        <v>0.5</v>
      </c>
      <c r="F250" s="29">
        <v>0.7</v>
      </c>
      <c r="G250" s="86">
        <f t="shared" si="61"/>
        <v>1.14</v>
      </c>
      <c r="H250" s="86">
        <v>1</v>
      </c>
      <c r="I250" s="86">
        <f t="shared" si="56"/>
        <v>1.14</v>
      </c>
      <c r="J250" s="95">
        <f t="shared" si="62"/>
        <v>128.82</v>
      </c>
      <c r="K250" s="94">
        <v>0.591659</v>
      </c>
      <c r="L250" s="39">
        <v>660000</v>
      </c>
      <c r="M250" s="94">
        <v>0.51564</v>
      </c>
      <c r="N250" s="39"/>
      <c r="O250" s="94">
        <f t="shared" si="57"/>
        <v>0.591659</v>
      </c>
      <c r="P250" s="19"/>
      <c r="Q250" s="99">
        <f t="shared" si="58"/>
        <v>390494.94</v>
      </c>
      <c r="R250" s="100">
        <f t="shared" si="59"/>
        <v>0</v>
      </c>
      <c r="S250" s="100">
        <f t="shared" si="60"/>
        <v>0</v>
      </c>
      <c r="U250" s="62"/>
    </row>
    <row r="251" spans="1:21" ht="12.75">
      <c r="A251" s="18">
        <v>9</v>
      </c>
      <c r="B251" s="18" t="s">
        <v>105</v>
      </c>
      <c r="C251" s="18" t="s">
        <v>44</v>
      </c>
      <c r="D251" s="18">
        <v>50</v>
      </c>
      <c r="E251" s="18">
        <v>0.5</v>
      </c>
      <c r="F251" s="29">
        <v>0.7</v>
      </c>
      <c r="G251" s="86">
        <f t="shared" si="61"/>
        <v>1.14</v>
      </c>
      <c r="H251" s="86">
        <v>1</v>
      </c>
      <c r="I251" s="86">
        <f t="shared" si="56"/>
        <v>1.14</v>
      </c>
      <c r="J251" s="95">
        <f t="shared" si="62"/>
        <v>128.82</v>
      </c>
      <c r="K251" s="94">
        <v>0.591659</v>
      </c>
      <c r="L251" s="39">
        <v>474300</v>
      </c>
      <c r="M251" s="94">
        <v>0.51564</v>
      </c>
      <c r="N251" s="39"/>
      <c r="O251" s="94">
        <f t="shared" si="57"/>
        <v>0.591659</v>
      </c>
      <c r="P251" s="19"/>
      <c r="Q251" s="99">
        <f t="shared" si="58"/>
        <v>280623.86370000005</v>
      </c>
      <c r="R251" s="100">
        <f t="shared" si="59"/>
        <v>0</v>
      </c>
      <c r="S251" s="100">
        <f t="shared" si="60"/>
        <v>0</v>
      </c>
      <c r="U251" s="62"/>
    </row>
    <row r="252" spans="1:21" ht="12.75">
      <c r="A252" s="18">
        <v>10</v>
      </c>
      <c r="B252" s="18" t="s">
        <v>103</v>
      </c>
      <c r="C252" s="18">
        <v>1970</v>
      </c>
      <c r="D252" s="18">
        <v>10</v>
      </c>
      <c r="E252" s="18">
        <v>0.15</v>
      </c>
      <c r="F252" s="29">
        <v>0.65</v>
      </c>
      <c r="G252" s="86">
        <f t="shared" si="61"/>
        <v>1.13</v>
      </c>
      <c r="H252" s="86">
        <v>1</v>
      </c>
      <c r="I252" s="86">
        <f t="shared" si="56"/>
        <v>1.13</v>
      </c>
      <c r="J252" s="95">
        <f t="shared" si="62"/>
        <v>127.68999999999998</v>
      </c>
      <c r="K252" s="94">
        <v>0.360819</v>
      </c>
      <c r="L252" s="40">
        <v>510000</v>
      </c>
      <c r="M252" s="94">
        <v>0.203078</v>
      </c>
      <c r="N252" s="39">
        <v>57375</v>
      </c>
      <c r="O252" s="94">
        <f t="shared" si="57"/>
        <v>0.360819</v>
      </c>
      <c r="P252" s="19"/>
      <c r="Q252" s="99">
        <f t="shared" si="58"/>
        <v>184017.69</v>
      </c>
      <c r="R252" s="100">
        <f t="shared" si="59"/>
        <v>11651.600250000001</v>
      </c>
      <c r="S252" s="100">
        <f t="shared" si="60"/>
        <v>0</v>
      </c>
      <c r="U252" s="62"/>
    </row>
    <row r="253" spans="1:21" ht="12.75">
      <c r="A253" s="18">
        <v>11</v>
      </c>
      <c r="B253" s="18" t="s">
        <v>103</v>
      </c>
      <c r="C253" s="18">
        <v>1970</v>
      </c>
      <c r="D253" s="18">
        <v>10</v>
      </c>
      <c r="E253" s="18">
        <v>0.15</v>
      </c>
      <c r="F253" s="29">
        <v>0.65</v>
      </c>
      <c r="G253" s="86">
        <f t="shared" si="61"/>
        <v>1.13</v>
      </c>
      <c r="H253" s="86">
        <v>1</v>
      </c>
      <c r="I253" s="86">
        <f t="shared" si="56"/>
        <v>1.13</v>
      </c>
      <c r="J253" s="95">
        <f t="shared" si="62"/>
        <v>127.68999999999998</v>
      </c>
      <c r="K253" s="94">
        <v>0.360819</v>
      </c>
      <c r="L253" s="23">
        <v>450000</v>
      </c>
      <c r="M253" s="94">
        <v>0.203078</v>
      </c>
      <c r="N253" s="39">
        <v>50625</v>
      </c>
      <c r="O253" s="94">
        <f t="shared" si="57"/>
        <v>0.360819</v>
      </c>
      <c r="P253" s="19"/>
      <c r="Q253" s="99">
        <f t="shared" si="58"/>
        <v>162368.55</v>
      </c>
      <c r="R253" s="100">
        <f t="shared" si="59"/>
        <v>10280.82375</v>
      </c>
      <c r="S253" s="100">
        <f t="shared" si="60"/>
        <v>0</v>
      </c>
      <c r="U253" s="62"/>
    </row>
    <row r="254" spans="1:21" ht="12.75">
      <c r="A254" s="18">
        <v>12</v>
      </c>
      <c r="B254" s="18" t="s">
        <v>106</v>
      </c>
      <c r="C254" s="18">
        <v>1970</v>
      </c>
      <c r="D254" s="18">
        <v>10</v>
      </c>
      <c r="E254" s="18">
        <v>0.2</v>
      </c>
      <c r="F254" s="29">
        <v>0.65</v>
      </c>
      <c r="G254" s="86">
        <f t="shared" si="61"/>
        <v>1.13</v>
      </c>
      <c r="H254" s="86">
        <v>1</v>
      </c>
      <c r="I254" s="86">
        <f t="shared" si="56"/>
        <v>1.13</v>
      </c>
      <c r="J254" s="95">
        <f t="shared" si="62"/>
        <v>127.68999999999998</v>
      </c>
      <c r="K254" s="94">
        <v>0.360819</v>
      </c>
      <c r="L254" s="21">
        <v>1400000</v>
      </c>
      <c r="M254" s="94">
        <v>0.203078</v>
      </c>
      <c r="N254" s="39">
        <v>157500</v>
      </c>
      <c r="O254" s="94">
        <f t="shared" si="57"/>
        <v>0.360819</v>
      </c>
      <c r="P254" s="19"/>
      <c r="Q254" s="99">
        <f t="shared" si="58"/>
        <v>505146.6</v>
      </c>
      <c r="R254" s="100">
        <f t="shared" si="59"/>
        <v>31984.785</v>
      </c>
      <c r="S254" s="100">
        <f t="shared" si="60"/>
        <v>0</v>
      </c>
      <c r="U254" s="62"/>
    </row>
    <row r="255" spans="1:21" ht="12.75">
      <c r="A255" s="18">
        <v>13</v>
      </c>
      <c r="B255" s="18" t="s">
        <v>107</v>
      </c>
      <c r="C255" s="18">
        <v>1970</v>
      </c>
      <c r="D255" s="18">
        <v>80</v>
      </c>
      <c r="E255" s="18">
        <v>0.2</v>
      </c>
      <c r="F255" s="29">
        <v>0.65</v>
      </c>
      <c r="G255" s="86">
        <f t="shared" si="61"/>
        <v>1.13</v>
      </c>
      <c r="H255" s="86">
        <v>1</v>
      </c>
      <c r="I255" s="86">
        <f t="shared" si="56"/>
        <v>1.13</v>
      </c>
      <c r="J255" s="95">
        <f t="shared" si="62"/>
        <v>127.68999999999998</v>
      </c>
      <c r="K255" s="94">
        <v>0.652659</v>
      </c>
      <c r="L255" s="21">
        <v>332000</v>
      </c>
      <c r="M255" s="94">
        <v>0.617403</v>
      </c>
      <c r="N255" s="39">
        <v>37350</v>
      </c>
      <c r="O255" s="94">
        <f t="shared" si="57"/>
        <v>0.652659</v>
      </c>
      <c r="P255" s="19"/>
      <c r="Q255" s="99">
        <f t="shared" si="58"/>
        <v>216682.788</v>
      </c>
      <c r="R255" s="100">
        <f t="shared" si="59"/>
        <v>23060.002050000003</v>
      </c>
      <c r="S255" s="100">
        <f t="shared" si="60"/>
        <v>0</v>
      </c>
      <c r="U255" s="62"/>
    </row>
    <row r="256" spans="1:21" ht="12.75">
      <c r="A256" s="18">
        <v>14</v>
      </c>
      <c r="B256" s="18" t="s">
        <v>101</v>
      </c>
      <c r="C256" s="18">
        <v>1970</v>
      </c>
      <c r="D256" s="18">
        <v>82</v>
      </c>
      <c r="E256" s="18">
        <v>0.2</v>
      </c>
      <c r="F256" s="29">
        <v>0.65</v>
      </c>
      <c r="G256" s="86">
        <f t="shared" si="61"/>
        <v>1.13</v>
      </c>
      <c r="H256" s="86">
        <v>1</v>
      </c>
      <c r="I256" s="86">
        <f t="shared" si="56"/>
        <v>1.13</v>
      </c>
      <c r="J256" s="95">
        <f t="shared" si="62"/>
        <v>127.68999999999998</v>
      </c>
      <c r="K256" s="94">
        <v>0.664309</v>
      </c>
      <c r="L256" s="21">
        <v>332000</v>
      </c>
      <c r="M256" s="94">
        <v>0.636419</v>
      </c>
      <c r="N256" s="39">
        <v>37350</v>
      </c>
      <c r="O256" s="94">
        <f t="shared" si="57"/>
        <v>0.664309</v>
      </c>
      <c r="P256" s="19"/>
      <c r="Q256" s="99">
        <f t="shared" si="58"/>
        <v>220550.58800000002</v>
      </c>
      <c r="R256" s="100">
        <f t="shared" si="59"/>
        <v>23770.249649999998</v>
      </c>
      <c r="S256" s="100">
        <f t="shared" si="60"/>
        <v>0</v>
      </c>
      <c r="U256" s="62"/>
    </row>
    <row r="257" spans="1:21" ht="12.75">
      <c r="A257" s="18">
        <v>15</v>
      </c>
      <c r="B257" s="18" t="s">
        <v>101</v>
      </c>
      <c r="C257" s="18">
        <v>1970</v>
      </c>
      <c r="D257" s="18">
        <v>80</v>
      </c>
      <c r="E257" s="18">
        <v>0.2</v>
      </c>
      <c r="F257" s="29">
        <v>0.65</v>
      </c>
      <c r="G257" s="86">
        <f t="shared" si="61"/>
        <v>1.13</v>
      </c>
      <c r="H257" s="86">
        <v>1</v>
      </c>
      <c r="I257" s="86">
        <f t="shared" si="56"/>
        <v>1.13</v>
      </c>
      <c r="J257" s="95">
        <f t="shared" si="62"/>
        <v>127.68999999999998</v>
      </c>
      <c r="K257" s="94">
        <v>0.652659</v>
      </c>
      <c r="L257" s="21">
        <v>332000</v>
      </c>
      <c r="M257" s="94">
        <v>0.617403</v>
      </c>
      <c r="N257" s="39">
        <v>37350</v>
      </c>
      <c r="O257" s="94">
        <f t="shared" si="57"/>
        <v>0.652659</v>
      </c>
      <c r="P257" s="19"/>
      <c r="Q257" s="99">
        <f t="shared" si="58"/>
        <v>216682.788</v>
      </c>
      <c r="R257" s="100">
        <f t="shared" si="59"/>
        <v>23060.002050000003</v>
      </c>
      <c r="S257" s="100">
        <f t="shared" si="60"/>
        <v>0</v>
      </c>
      <c r="U257" s="62"/>
    </row>
    <row r="258" spans="1:21" ht="12.75">
      <c r="A258" s="18">
        <v>16</v>
      </c>
      <c r="B258" s="18" t="s">
        <v>101</v>
      </c>
      <c r="C258" s="18">
        <v>1970</v>
      </c>
      <c r="D258" s="18">
        <v>80</v>
      </c>
      <c r="E258" s="18">
        <v>0.2</v>
      </c>
      <c r="F258" s="29">
        <v>0.65</v>
      </c>
      <c r="G258" s="86">
        <f t="shared" si="61"/>
        <v>1.13</v>
      </c>
      <c r="H258" s="86">
        <v>1</v>
      </c>
      <c r="I258" s="86">
        <f t="shared" si="56"/>
        <v>1.13</v>
      </c>
      <c r="J258" s="95">
        <f t="shared" si="62"/>
        <v>127.68999999999998</v>
      </c>
      <c r="K258" s="94">
        <v>0.652659</v>
      </c>
      <c r="L258" s="21">
        <v>500000</v>
      </c>
      <c r="M258" s="94">
        <v>0.617403</v>
      </c>
      <c r="N258" s="39">
        <v>56250</v>
      </c>
      <c r="O258" s="94">
        <f t="shared" si="57"/>
        <v>0.652659</v>
      </c>
      <c r="P258" s="19"/>
      <c r="Q258" s="99">
        <f t="shared" si="58"/>
        <v>326329.5</v>
      </c>
      <c r="R258" s="100">
        <f t="shared" si="59"/>
        <v>34728.918750000004</v>
      </c>
      <c r="S258" s="100">
        <f t="shared" si="60"/>
        <v>0</v>
      </c>
      <c r="U258" s="62"/>
    </row>
    <row r="259" spans="1:21" ht="12.75">
      <c r="A259" s="18">
        <v>17</v>
      </c>
      <c r="B259" s="18" t="s">
        <v>101</v>
      </c>
      <c r="C259" s="18">
        <v>1970</v>
      </c>
      <c r="D259" s="18">
        <v>80</v>
      </c>
      <c r="E259" s="18">
        <v>0.2</v>
      </c>
      <c r="F259" s="29">
        <v>0.65</v>
      </c>
      <c r="G259" s="86">
        <f t="shared" si="61"/>
        <v>1.13</v>
      </c>
      <c r="H259" s="86">
        <v>1</v>
      </c>
      <c r="I259" s="86">
        <f t="shared" si="56"/>
        <v>1.13</v>
      </c>
      <c r="J259" s="95">
        <f t="shared" si="62"/>
        <v>127.68999999999998</v>
      </c>
      <c r="K259" s="94">
        <v>0.652659</v>
      </c>
      <c r="L259" s="21">
        <v>109000</v>
      </c>
      <c r="M259" s="94">
        <v>0.617403</v>
      </c>
      <c r="N259" s="39">
        <v>12262.5</v>
      </c>
      <c r="O259" s="94">
        <f t="shared" si="57"/>
        <v>0.652659</v>
      </c>
      <c r="P259" s="19"/>
      <c r="Q259" s="99">
        <f t="shared" si="58"/>
        <v>71139.831</v>
      </c>
      <c r="R259" s="100">
        <f t="shared" si="59"/>
        <v>7570.9042875000005</v>
      </c>
      <c r="S259" s="100">
        <f t="shared" si="60"/>
        <v>0</v>
      </c>
      <c r="U259" s="62"/>
    </row>
    <row r="260" spans="1:21" ht="12.75">
      <c r="A260" s="18">
        <v>18</v>
      </c>
      <c r="B260" s="18" t="s">
        <v>101</v>
      </c>
      <c r="C260" s="18">
        <v>1970</v>
      </c>
      <c r="D260" s="18">
        <v>80</v>
      </c>
      <c r="E260" s="18">
        <v>0.2</v>
      </c>
      <c r="F260" s="29">
        <v>0.65</v>
      </c>
      <c r="G260" s="86">
        <f t="shared" si="61"/>
        <v>1.13</v>
      </c>
      <c r="H260" s="86">
        <v>1</v>
      </c>
      <c r="I260" s="86">
        <f t="shared" si="56"/>
        <v>1.13</v>
      </c>
      <c r="J260" s="95">
        <f t="shared" si="62"/>
        <v>127.68999999999998</v>
      </c>
      <c r="K260" s="94">
        <v>0.652659</v>
      </c>
      <c r="L260" s="21">
        <v>490000</v>
      </c>
      <c r="M260" s="94">
        <v>0.617403</v>
      </c>
      <c r="N260" s="39">
        <v>55125</v>
      </c>
      <c r="O260" s="94">
        <f t="shared" si="57"/>
        <v>0.652659</v>
      </c>
      <c r="P260" s="19"/>
      <c r="Q260" s="99">
        <f t="shared" si="58"/>
        <v>319802.91</v>
      </c>
      <c r="R260" s="100">
        <f t="shared" si="59"/>
        <v>34034.340375</v>
      </c>
      <c r="S260" s="100">
        <f t="shared" si="60"/>
        <v>0</v>
      </c>
      <c r="U260" s="62"/>
    </row>
    <row r="261" spans="1:21" ht="12.75">
      <c r="A261" s="18">
        <v>19</v>
      </c>
      <c r="B261" s="18" t="s">
        <v>108</v>
      </c>
      <c r="C261" s="18">
        <v>1963</v>
      </c>
      <c r="D261" s="18">
        <v>50</v>
      </c>
      <c r="E261" s="18">
        <v>0.5</v>
      </c>
      <c r="F261" s="29">
        <v>0.7</v>
      </c>
      <c r="G261" s="86">
        <f t="shared" si="61"/>
        <v>1.14</v>
      </c>
      <c r="H261" s="86">
        <v>1</v>
      </c>
      <c r="I261" s="86">
        <f t="shared" si="56"/>
        <v>1.14</v>
      </c>
      <c r="J261" s="95">
        <f t="shared" si="62"/>
        <v>128.82</v>
      </c>
      <c r="K261" s="94">
        <v>0.591659</v>
      </c>
      <c r="L261" s="21">
        <v>225000</v>
      </c>
      <c r="M261" s="94">
        <v>0.51564</v>
      </c>
      <c r="N261" s="39">
        <v>25312.5</v>
      </c>
      <c r="O261" s="94">
        <f t="shared" si="57"/>
        <v>0.591659</v>
      </c>
      <c r="P261" s="19"/>
      <c r="Q261" s="99">
        <f t="shared" si="58"/>
        <v>133123.27500000002</v>
      </c>
      <c r="R261" s="100">
        <f t="shared" si="59"/>
        <v>13052.137499999999</v>
      </c>
      <c r="S261" s="100">
        <f t="shared" si="60"/>
        <v>0</v>
      </c>
      <c r="U261" s="62"/>
    </row>
    <row r="262" spans="1:21" ht="12.75">
      <c r="A262" s="18">
        <v>20</v>
      </c>
      <c r="B262" s="18"/>
      <c r="C262" s="18">
        <v>1963</v>
      </c>
      <c r="D262" s="18">
        <v>50</v>
      </c>
      <c r="E262" s="18">
        <v>0.5</v>
      </c>
      <c r="F262" s="29">
        <v>0.7</v>
      </c>
      <c r="G262" s="86">
        <f t="shared" si="61"/>
        <v>1.14</v>
      </c>
      <c r="H262" s="86">
        <v>1</v>
      </c>
      <c r="I262" s="86">
        <f t="shared" si="56"/>
        <v>1.14</v>
      </c>
      <c r="J262" s="95">
        <f t="shared" si="62"/>
        <v>128.82</v>
      </c>
      <c r="K262" s="94">
        <v>0.591659</v>
      </c>
      <c r="L262" s="21">
        <v>740000</v>
      </c>
      <c r="M262" s="94">
        <v>0.51564</v>
      </c>
      <c r="N262" s="39">
        <v>83250</v>
      </c>
      <c r="O262" s="94">
        <f t="shared" si="57"/>
        <v>0.591659</v>
      </c>
      <c r="P262" s="19"/>
      <c r="Q262" s="99">
        <f t="shared" si="58"/>
        <v>437827.66000000003</v>
      </c>
      <c r="R262" s="100">
        <f t="shared" si="59"/>
        <v>42927.03</v>
      </c>
      <c r="S262" s="100">
        <f t="shared" si="60"/>
        <v>0</v>
      </c>
      <c r="U262" s="62"/>
    </row>
    <row r="263" spans="1:21" ht="12.75">
      <c r="A263" s="18">
        <v>21</v>
      </c>
      <c r="B263" s="18"/>
      <c r="C263" s="18">
        <v>1963</v>
      </c>
      <c r="D263" s="18">
        <v>50</v>
      </c>
      <c r="E263" s="18">
        <v>0.5</v>
      </c>
      <c r="F263" s="29">
        <v>0.7</v>
      </c>
      <c r="G263" s="86">
        <f t="shared" si="61"/>
        <v>1.14</v>
      </c>
      <c r="H263" s="86">
        <v>1</v>
      </c>
      <c r="I263" s="86">
        <f t="shared" si="56"/>
        <v>1.14</v>
      </c>
      <c r="J263" s="95">
        <f t="shared" si="62"/>
        <v>128.82</v>
      </c>
      <c r="K263" s="94">
        <v>0.591659</v>
      </c>
      <c r="L263" s="21">
        <v>500000</v>
      </c>
      <c r="M263" s="94">
        <v>0.51564</v>
      </c>
      <c r="N263" s="39">
        <v>56250</v>
      </c>
      <c r="O263" s="94">
        <f t="shared" si="57"/>
        <v>0.591659</v>
      </c>
      <c r="P263" s="19"/>
      <c r="Q263" s="99">
        <f t="shared" si="58"/>
        <v>295829.5</v>
      </c>
      <c r="R263" s="100">
        <f t="shared" si="59"/>
        <v>29004.75</v>
      </c>
      <c r="S263" s="100">
        <f t="shared" si="60"/>
        <v>0</v>
      </c>
      <c r="U263" s="62"/>
    </row>
    <row r="264" spans="1:21" ht="12.75">
      <c r="A264" s="18">
        <v>22</v>
      </c>
      <c r="B264" s="18"/>
      <c r="C264" s="18">
        <v>1963</v>
      </c>
      <c r="D264" s="18">
        <v>50</v>
      </c>
      <c r="E264" s="18">
        <v>0.5</v>
      </c>
      <c r="F264" s="29">
        <v>0.7</v>
      </c>
      <c r="G264" s="86">
        <f t="shared" si="61"/>
        <v>1.14</v>
      </c>
      <c r="H264" s="86">
        <v>1</v>
      </c>
      <c r="I264" s="86">
        <f t="shared" si="56"/>
        <v>1.14</v>
      </c>
      <c r="J264" s="95">
        <f t="shared" si="62"/>
        <v>128.82</v>
      </c>
      <c r="K264" s="94">
        <v>0.591659</v>
      </c>
      <c r="L264" s="21">
        <v>440000</v>
      </c>
      <c r="M264" s="94">
        <v>0.51564</v>
      </c>
      <c r="N264" s="39">
        <v>49500</v>
      </c>
      <c r="O264" s="94">
        <f t="shared" si="57"/>
        <v>0.591659</v>
      </c>
      <c r="P264" s="19"/>
      <c r="Q264" s="99">
        <f t="shared" si="58"/>
        <v>260329.96000000002</v>
      </c>
      <c r="R264" s="100">
        <f t="shared" si="59"/>
        <v>25524.18</v>
      </c>
      <c r="S264" s="100">
        <f t="shared" si="60"/>
        <v>0</v>
      </c>
      <c r="U264" s="62"/>
    </row>
    <row r="265" spans="1:21" ht="12.75">
      <c r="A265" s="18">
        <v>23</v>
      </c>
      <c r="B265" s="18"/>
      <c r="C265" s="18">
        <v>1963</v>
      </c>
      <c r="D265" s="18">
        <v>50</v>
      </c>
      <c r="E265" s="18">
        <v>0.5</v>
      </c>
      <c r="F265" s="29">
        <v>0.7</v>
      </c>
      <c r="G265" s="86">
        <f t="shared" si="61"/>
        <v>1.14</v>
      </c>
      <c r="H265" s="86">
        <v>1</v>
      </c>
      <c r="I265" s="86">
        <f t="shared" si="56"/>
        <v>1.14</v>
      </c>
      <c r="J265" s="95">
        <f t="shared" si="62"/>
        <v>128.82</v>
      </c>
      <c r="K265" s="94">
        <v>0.591659</v>
      </c>
      <c r="L265" s="21">
        <v>134000</v>
      </c>
      <c r="M265" s="94">
        <v>0.51564</v>
      </c>
      <c r="N265" s="39">
        <v>15075</v>
      </c>
      <c r="O265" s="94">
        <f t="shared" si="57"/>
        <v>0.591659</v>
      </c>
      <c r="P265" s="19"/>
      <c r="Q265" s="99">
        <f t="shared" si="58"/>
        <v>79282.30600000001</v>
      </c>
      <c r="R265" s="100">
        <f t="shared" si="59"/>
        <v>7773.273</v>
      </c>
      <c r="S265" s="100">
        <f t="shared" si="60"/>
        <v>0</v>
      </c>
      <c r="U265" s="62"/>
    </row>
    <row r="266" spans="1:21" ht="12.75">
      <c r="A266" s="18">
        <v>24</v>
      </c>
      <c r="B266" s="18"/>
      <c r="C266" s="18" t="s">
        <v>109</v>
      </c>
      <c r="D266" s="18">
        <v>50</v>
      </c>
      <c r="E266" s="18">
        <v>0.5</v>
      </c>
      <c r="F266" s="29">
        <v>0.7</v>
      </c>
      <c r="G266" s="86">
        <f t="shared" si="61"/>
        <v>1.14</v>
      </c>
      <c r="H266" s="86">
        <v>1</v>
      </c>
      <c r="I266" s="86">
        <f t="shared" si="56"/>
        <v>1.14</v>
      </c>
      <c r="J266" s="95">
        <f t="shared" si="62"/>
        <v>128.82</v>
      </c>
      <c r="K266" s="94">
        <v>0.591659</v>
      </c>
      <c r="L266" s="21">
        <v>500000</v>
      </c>
      <c r="M266" s="94">
        <v>0.51564</v>
      </c>
      <c r="N266" s="39">
        <v>56250</v>
      </c>
      <c r="O266" s="94">
        <f t="shared" si="57"/>
        <v>0.591659</v>
      </c>
      <c r="P266" s="19"/>
      <c r="Q266" s="99">
        <f t="shared" si="58"/>
        <v>295829.5</v>
      </c>
      <c r="R266" s="100">
        <f t="shared" si="59"/>
        <v>29004.75</v>
      </c>
      <c r="S266" s="100">
        <f t="shared" si="60"/>
        <v>0</v>
      </c>
      <c r="U266" s="62"/>
    </row>
    <row r="267" spans="1:21" ht="12.75">
      <c r="A267" s="18">
        <v>25</v>
      </c>
      <c r="B267" s="18"/>
      <c r="C267" s="18" t="s">
        <v>109</v>
      </c>
      <c r="D267" s="18">
        <v>50</v>
      </c>
      <c r="E267" s="18">
        <v>0.5</v>
      </c>
      <c r="F267" s="29">
        <v>0.7</v>
      </c>
      <c r="G267" s="86">
        <f t="shared" si="61"/>
        <v>1.14</v>
      </c>
      <c r="H267" s="86">
        <v>1</v>
      </c>
      <c r="I267" s="86">
        <f t="shared" si="56"/>
        <v>1.14</v>
      </c>
      <c r="J267" s="95">
        <f t="shared" si="62"/>
        <v>128.82</v>
      </c>
      <c r="K267" s="94">
        <v>0.591659</v>
      </c>
      <c r="L267" s="21">
        <v>260000</v>
      </c>
      <c r="M267" s="94">
        <v>0.51564</v>
      </c>
      <c r="N267" s="39">
        <v>29250</v>
      </c>
      <c r="O267" s="94">
        <f t="shared" si="57"/>
        <v>0.591659</v>
      </c>
      <c r="P267" s="19"/>
      <c r="Q267" s="99">
        <f t="shared" si="58"/>
        <v>153831.34000000003</v>
      </c>
      <c r="R267" s="100">
        <f t="shared" si="59"/>
        <v>15082.47</v>
      </c>
      <c r="S267" s="100">
        <f t="shared" si="60"/>
        <v>0</v>
      </c>
      <c r="U267" s="62"/>
    </row>
    <row r="268" spans="1:21" ht="12.75">
      <c r="A268" s="18">
        <v>26</v>
      </c>
      <c r="B268" s="18"/>
      <c r="C268" s="18" t="s">
        <v>109</v>
      </c>
      <c r="D268" s="18">
        <v>50</v>
      </c>
      <c r="E268" s="18">
        <v>0.5</v>
      </c>
      <c r="F268" s="29">
        <v>0.7</v>
      </c>
      <c r="G268" s="86">
        <f t="shared" si="61"/>
        <v>1.14</v>
      </c>
      <c r="H268" s="86">
        <v>1</v>
      </c>
      <c r="I268" s="86">
        <f t="shared" si="56"/>
        <v>1.14</v>
      </c>
      <c r="J268" s="95">
        <f t="shared" si="62"/>
        <v>128.82</v>
      </c>
      <c r="K268" s="94">
        <v>0.591659</v>
      </c>
      <c r="L268" s="21">
        <v>120000</v>
      </c>
      <c r="M268" s="94">
        <v>0.51564</v>
      </c>
      <c r="N268" s="39">
        <v>13500</v>
      </c>
      <c r="O268" s="94">
        <f t="shared" si="57"/>
        <v>0.591659</v>
      </c>
      <c r="P268" s="19"/>
      <c r="Q268" s="99">
        <f t="shared" si="58"/>
        <v>70999.08</v>
      </c>
      <c r="R268" s="100">
        <f t="shared" si="59"/>
        <v>6961.139999999999</v>
      </c>
      <c r="S268" s="100">
        <f t="shared" si="60"/>
        <v>0</v>
      </c>
      <c r="U268" s="62"/>
    </row>
    <row r="269" spans="1:21" ht="12.75">
      <c r="A269" s="18">
        <v>27</v>
      </c>
      <c r="B269" s="18"/>
      <c r="C269" s="18">
        <v>1963</v>
      </c>
      <c r="D269" s="18">
        <v>50</v>
      </c>
      <c r="E269" s="18">
        <v>0.5</v>
      </c>
      <c r="F269" s="29">
        <v>0.7</v>
      </c>
      <c r="G269" s="86">
        <f t="shared" si="61"/>
        <v>1.14</v>
      </c>
      <c r="H269" s="86">
        <v>1</v>
      </c>
      <c r="I269" s="86">
        <f t="shared" si="56"/>
        <v>1.14</v>
      </c>
      <c r="J269" s="95">
        <f t="shared" si="62"/>
        <v>128.82</v>
      </c>
      <c r="K269" s="94">
        <v>0.591659</v>
      </c>
      <c r="L269" s="21">
        <v>90000</v>
      </c>
      <c r="M269" s="94">
        <v>0.51564</v>
      </c>
      <c r="N269" s="39">
        <v>10125</v>
      </c>
      <c r="O269" s="94">
        <f t="shared" si="57"/>
        <v>0.591659</v>
      </c>
      <c r="P269" s="19"/>
      <c r="Q269" s="99">
        <f t="shared" si="58"/>
        <v>53249.310000000005</v>
      </c>
      <c r="R269" s="100">
        <f t="shared" si="59"/>
        <v>5220.855</v>
      </c>
      <c r="S269" s="100">
        <f t="shared" si="60"/>
        <v>0</v>
      </c>
      <c r="U269" s="62"/>
    </row>
    <row r="270" spans="1:21" ht="12.75">
      <c r="A270" s="18">
        <v>28</v>
      </c>
      <c r="B270" s="18"/>
      <c r="C270" s="18" t="s">
        <v>109</v>
      </c>
      <c r="D270" s="18">
        <v>50</v>
      </c>
      <c r="E270" s="18">
        <v>0.5</v>
      </c>
      <c r="F270" s="29">
        <v>0.7</v>
      </c>
      <c r="G270" s="86">
        <f t="shared" si="61"/>
        <v>1.14</v>
      </c>
      <c r="H270" s="86">
        <v>1</v>
      </c>
      <c r="I270" s="86">
        <f t="shared" si="56"/>
        <v>1.14</v>
      </c>
      <c r="J270" s="95">
        <f t="shared" si="62"/>
        <v>128.82</v>
      </c>
      <c r="K270" s="94">
        <v>0.591659</v>
      </c>
      <c r="L270" s="21">
        <v>730000</v>
      </c>
      <c r="M270" s="94">
        <v>0.51564</v>
      </c>
      <c r="N270" s="39">
        <v>82125</v>
      </c>
      <c r="O270" s="94">
        <f t="shared" si="57"/>
        <v>0.591659</v>
      </c>
      <c r="P270" s="19"/>
      <c r="Q270" s="99">
        <f t="shared" si="58"/>
        <v>431911.07</v>
      </c>
      <c r="R270" s="100">
        <f t="shared" si="59"/>
        <v>42346.935</v>
      </c>
      <c r="S270" s="100">
        <f t="shared" si="60"/>
        <v>0</v>
      </c>
      <c r="U270" s="62"/>
    </row>
    <row r="271" spans="11:21" ht="12.75">
      <c r="K271" s="24"/>
      <c r="L271" s="4"/>
      <c r="M271" s="24"/>
      <c r="N271" s="4"/>
      <c r="U271" s="80"/>
    </row>
    <row r="272" spans="1:21" s="24" customFormat="1" ht="12">
      <c r="A272" s="18">
        <v>1</v>
      </c>
      <c r="B272" s="18">
        <v>2</v>
      </c>
      <c r="C272" s="18">
        <v>3</v>
      </c>
      <c r="D272" s="18">
        <v>4</v>
      </c>
      <c r="E272" s="18">
        <v>5</v>
      </c>
      <c r="F272" s="85" t="s">
        <v>204</v>
      </c>
      <c r="G272" s="85" t="s">
        <v>205</v>
      </c>
      <c r="H272" s="41" t="s">
        <v>206</v>
      </c>
      <c r="I272" s="18" t="s">
        <v>207</v>
      </c>
      <c r="J272" s="18">
        <v>6</v>
      </c>
      <c r="K272" s="18">
        <v>25</v>
      </c>
      <c r="L272" s="18">
        <v>26</v>
      </c>
      <c r="M272" s="18">
        <v>28</v>
      </c>
      <c r="N272" s="18">
        <v>29</v>
      </c>
      <c r="O272" s="18">
        <v>30</v>
      </c>
      <c r="P272" s="18">
        <v>31</v>
      </c>
      <c r="Q272" s="18">
        <v>32</v>
      </c>
      <c r="R272" s="18">
        <v>33</v>
      </c>
      <c r="S272" s="18">
        <v>34</v>
      </c>
      <c r="U272" s="62"/>
    </row>
    <row r="273" spans="1:21" ht="12">
      <c r="A273" s="2" t="s">
        <v>190</v>
      </c>
      <c r="B273" s="36" t="s">
        <v>13</v>
      </c>
      <c r="C273" s="33" t="s">
        <v>14</v>
      </c>
      <c r="D273" s="36" t="s">
        <v>176</v>
      </c>
      <c r="E273" s="33" t="s">
        <v>15</v>
      </c>
      <c r="F273" s="36" t="s">
        <v>208</v>
      </c>
      <c r="G273" s="36"/>
      <c r="H273" s="32"/>
      <c r="I273" s="37"/>
      <c r="J273" s="36" t="s">
        <v>191</v>
      </c>
      <c r="K273" s="36" t="s">
        <v>192</v>
      </c>
      <c r="L273" s="36" t="s">
        <v>16</v>
      </c>
      <c r="M273" s="36" t="s">
        <v>193</v>
      </c>
      <c r="N273" s="33" t="s">
        <v>17</v>
      </c>
      <c r="O273" s="36" t="s">
        <v>194</v>
      </c>
      <c r="P273" s="36" t="s">
        <v>195</v>
      </c>
      <c r="Q273" s="33" t="s">
        <v>196</v>
      </c>
      <c r="R273" s="36" t="s">
        <v>193</v>
      </c>
      <c r="S273" s="36" t="s">
        <v>197</v>
      </c>
      <c r="U273" s="32"/>
    </row>
    <row r="274" spans="1:21" ht="12">
      <c r="A274" s="61"/>
      <c r="B274" s="37"/>
      <c r="C274" s="32" t="s">
        <v>18</v>
      </c>
      <c r="D274" s="37" t="s">
        <v>198</v>
      </c>
      <c r="E274" s="32" t="s">
        <v>19</v>
      </c>
      <c r="F274" s="37"/>
      <c r="G274" s="37"/>
      <c r="H274" s="32"/>
      <c r="I274" s="37"/>
      <c r="J274" s="37" t="s">
        <v>199</v>
      </c>
      <c r="K274" s="37" t="s">
        <v>200</v>
      </c>
      <c r="L274" s="37" t="s">
        <v>20</v>
      </c>
      <c r="M274" s="37" t="s">
        <v>200</v>
      </c>
      <c r="N274" s="32" t="s">
        <v>20</v>
      </c>
      <c r="O274" s="37" t="s">
        <v>200</v>
      </c>
      <c r="P274" s="37" t="s">
        <v>20</v>
      </c>
      <c r="Q274" s="32" t="s">
        <v>200</v>
      </c>
      <c r="R274" s="37" t="s">
        <v>200</v>
      </c>
      <c r="S274" s="37" t="s">
        <v>200</v>
      </c>
      <c r="U274" s="32"/>
    </row>
    <row r="275" spans="1:21" ht="12.75">
      <c r="A275" s="63"/>
      <c r="B275" s="29"/>
      <c r="C275" s="64"/>
      <c r="D275" s="29"/>
      <c r="E275" s="64"/>
      <c r="F275" s="29"/>
      <c r="G275" s="64"/>
      <c r="H275" s="10"/>
      <c r="I275" s="29"/>
      <c r="J275" s="38" t="s">
        <v>201</v>
      </c>
      <c r="K275" s="38" t="s">
        <v>202</v>
      </c>
      <c r="L275" s="29"/>
      <c r="M275" s="38" t="s">
        <v>202</v>
      </c>
      <c r="N275" s="64"/>
      <c r="O275" s="38" t="s">
        <v>202</v>
      </c>
      <c r="P275" s="29"/>
      <c r="Q275" s="64" t="s">
        <v>203</v>
      </c>
      <c r="R275" s="38" t="s">
        <v>203</v>
      </c>
      <c r="S275" s="29" t="s">
        <v>203</v>
      </c>
      <c r="U275" s="62"/>
    </row>
    <row r="276" spans="1:21" ht="12.75">
      <c r="A276" s="18">
        <v>1</v>
      </c>
      <c r="B276" s="18" t="s">
        <v>110</v>
      </c>
      <c r="C276" s="18" t="s">
        <v>109</v>
      </c>
      <c r="D276" s="18">
        <v>100</v>
      </c>
      <c r="E276" s="27" t="s">
        <v>26</v>
      </c>
      <c r="F276" s="29">
        <v>0.65</v>
      </c>
      <c r="G276" s="86">
        <f aca="true" t="shared" si="63" ref="G276:G297">1+F276*(0.2)</f>
        <v>1.13</v>
      </c>
      <c r="H276" s="86">
        <v>1</v>
      </c>
      <c r="I276" s="86">
        <f aca="true" t="shared" si="64" ref="I276:I297">G276*H276</f>
        <v>1.13</v>
      </c>
      <c r="J276" s="95">
        <f aca="true" t="shared" si="65" ref="J276:J297">I276*113</f>
        <v>127.68999999999998</v>
      </c>
      <c r="K276" s="94">
        <v>0.698157</v>
      </c>
      <c r="L276" s="21">
        <v>951000</v>
      </c>
      <c r="M276" s="94">
        <v>0.690616</v>
      </c>
      <c r="N276" s="39">
        <v>106987.5</v>
      </c>
      <c r="O276" s="94">
        <f aca="true" t="shared" si="66" ref="O276:O297">K276</f>
        <v>0.698157</v>
      </c>
      <c r="P276" s="19"/>
      <c r="Q276" s="99">
        <f aca="true" t="shared" si="67" ref="Q276:Q297">K276*L276</f>
        <v>663947.307</v>
      </c>
      <c r="R276" s="100">
        <f aca="true" t="shared" si="68" ref="R276:R297">M276*N276</f>
        <v>73887.2793</v>
      </c>
      <c r="S276" s="100">
        <f aca="true" t="shared" si="69" ref="S276:S297">O276*P276</f>
        <v>0</v>
      </c>
      <c r="U276" s="62"/>
    </row>
    <row r="277" spans="1:21" ht="12.75">
      <c r="A277" s="18">
        <v>2</v>
      </c>
      <c r="B277" s="18" t="s">
        <v>101</v>
      </c>
      <c r="C277" s="18" t="s">
        <v>109</v>
      </c>
      <c r="D277" s="18">
        <v>100</v>
      </c>
      <c r="E277" s="27" t="s">
        <v>26</v>
      </c>
      <c r="F277" s="29">
        <v>0.65</v>
      </c>
      <c r="G277" s="86">
        <f t="shared" si="63"/>
        <v>1.13</v>
      </c>
      <c r="H277" s="86">
        <v>1</v>
      </c>
      <c r="I277" s="86">
        <f t="shared" si="64"/>
        <v>1.13</v>
      </c>
      <c r="J277" s="95">
        <f t="shared" si="65"/>
        <v>127.68999999999998</v>
      </c>
      <c r="K277" s="94">
        <v>0.698157</v>
      </c>
      <c r="L277" s="21">
        <v>435000</v>
      </c>
      <c r="M277" s="94">
        <v>0.690616</v>
      </c>
      <c r="N277" s="39">
        <v>48937.5</v>
      </c>
      <c r="O277" s="94">
        <f t="shared" si="66"/>
        <v>0.698157</v>
      </c>
      <c r="P277" s="19"/>
      <c r="Q277" s="99">
        <f t="shared" si="67"/>
        <v>303698.295</v>
      </c>
      <c r="R277" s="100">
        <f t="shared" si="68"/>
        <v>33797.0205</v>
      </c>
      <c r="S277" s="100">
        <f t="shared" si="69"/>
        <v>0</v>
      </c>
      <c r="U277" s="62"/>
    </row>
    <row r="278" spans="1:21" ht="12.75">
      <c r="A278" s="18">
        <v>3</v>
      </c>
      <c r="B278" s="18" t="s">
        <v>101</v>
      </c>
      <c r="C278" s="18" t="s">
        <v>109</v>
      </c>
      <c r="D278" s="18">
        <v>100</v>
      </c>
      <c r="E278" s="27" t="s">
        <v>26</v>
      </c>
      <c r="F278" s="29">
        <v>0.65</v>
      </c>
      <c r="G278" s="86">
        <f t="shared" si="63"/>
        <v>1.13</v>
      </c>
      <c r="H278" s="86">
        <v>1</v>
      </c>
      <c r="I278" s="86">
        <f t="shared" si="64"/>
        <v>1.13</v>
      </c>
      <c r="J278" s="95">
        <f t="shared" si="65"/>
        <v>127.68999999999998</v>
      </c>
      <c r="K278" s="94">
        <v>0.698157</v>
      </c>
      <c r="L278" s="21">
        <v>23000</v>
      </c>
      <c r="M278" s="94">
        <v>0.690616</v>
      </c>
      <c r="N278" s="39">
        <v>2587.5</v>
      </c>
      <c r="O278" s="94">
        <f t="shared" si="66"/>
        <v>0.698157</v>
      </c>
      <c r="P278" s="19"/>
      <c r="Q278" s="99">
        <f t="shared" si="67"/>
        <v>16057.611</v>
      </c>
      <c r="R278" s="100">
        <f t="shared" si="68"/>
        <v>1786.9689</v>
      </c>
      <c r="S278" s="100">
        <f t="shared" si="69"/>
        <v>0</v>
      </c>
      <c r="U278" s="62"/>
    </row>
    <row r="279" spans="1:21" ht="12.75">
      <c r="A279" s="18">
        <v>4</v>
      </c>
      <c r="B279" s="18" t="s">
        <v>101</v>
      </c>
      <c r="C279" s="18" t="s">
        <v>109</v>
      </c>
      <c r="D279" s="18">
        <v>100</v>
      </c>
      <c r="E279" s="27" t="s">
        <v>26</v>
      </c>
      <c r="F279" s="29">
        <v>0.65</v>
      </c>
      <c r="G279" s="86">
        <f t="shared" si="63"/>
        <v>1.13</v>
      </c>
      <c r="H279" s="86">
        <v>1</v>
      </c>
      <c r="I279" s="86">
        <f t="shared" si="64"/>
        <v>1.13</v>
      </c>
      <c r="J279" s="95">
        <f t="shared" si="65"/>
        <v>127.68999999999998</v>
      </c>
      <c r="K279" s="94">
        <v>0.698157</v>
      </c>
      <c r="L279" s="21">
        <v>426000</v>
      </c>
      <c r="M279" s="94">
        <v>0.690616</v>
      </c>
      <c r="N279" s="39">
        <v>47925</v>
      </c>
      <c r="O279" s="94">
        <f t="shared" si="66"/>
        <v>0.698157</v>
      </c>
      <c r="P279" s="19"/>
      <c r="Q279" s="99">
        <f t="shared" si="67"/>
        <v>297414.882</v>
      </c>
      <c r="R279" s="100">
        <f t="shared" si="68"/>
        <v>33097.7718</v>
      </c>
      <c r="S279" s="100">
        <f t="shared" si="69"/>
        <v>0</v>
      </c>
      <c r="U279" s="62"/>
    </row>
    <row r="280" spans="1:21" ht="12.75">
      <c r="A280" s="18">
        <v>5</v>
      </c>
      <c r="B280" s="18" t="s">
        <v>101</v>
      </c>
      <c r="C280" s="18" t="s">
        <v>109</v>
      </c>
      <c r="D280" s="18">
        <v>100</v>
      </c>
      <c r="E280" s="27" t="s">
        <v>26</v>
      </c>
      <c r="F280" s="29">
        <v>0.65</v>
      </c>
      <c r="G280" s="86">
        <f t="shared" si="63"/>
        <v>1.13</v>
      </c>
      <c r="H280" s="86">
        <v>1</v>
      </c>
      <c r="I280" s="86">
        <f t="shared" si="64"/>
        <v>1.13</v>
      </c>
      <c r="J280" s="95">
        <f t="shared" si="65"/>
        <v>127.68999999999998</v>
      </c>
      <c r="K280" s="94">
        <v>0.698157</v>
      </c>
      <c r="L280" s="21">
        <v>135000</v>
      </c>
      <c r="M280" s="94">
        <v>0.690616</v>
      </c>
      <c r="N280" s="39">
        <v>15187.5</v>
      </c>
      <c r="O280" s="94">
        <f t="shared" si="66"/>
        <v>0.698157</v>
      </c>
      <c r="P280" s="19"/>
      <c r="Q280" s="99">
        <f t="shared" si="67"/>
        <v>94251.195</v>
      </c>
      <c r="R280" s="100">
        <f t="shared" si="68"/>
        <v>10488.7305</v>
      </c>
      <c r="S280" s="100">
        <f t="shared" si="69"/>
        <v>0</v>
      </c>
      <c r="U280" s="62"/>
    </row>
    <row r="281" spans="1:21" ht="12.75">
      <c r="A281" s="18">
        <v>6</v>
      </c>
      <c r="B281" s="18" t="s">
        <v>101</v>
      </c>
      <c r="C281" s="18" t="s">
        <v>109</v>
      </c>
      <c r="D281" s="18">
        <v>100</v>
      </c>
      <c r="E281" s="27" t="s">
        <v>26</v>
      </c>
      <c r="F281" s="29">
        <v>0.65</v>
      </c>
      <c r="G281" s="86">
        <f t="shared" si="63"/>
        <v>1.13</v>
      </c>
      <c r="H281" s="86">
        <v>1</v>
      </c>
      <c r="I281" s="86">
        <f t="shared" si="64"/>
        <v>1.13</v>
      </c>
      <c r="J281" s="95">
        <f t="shared" si="65"/>
        <v>127.68999999999998</v>
      </c>
      <c r="K281" s="94">
        <v>0.698157</v>
      </c>
      <c r="L281" s="23">
        <v>864000</v>
      </c>
      <c r="M281" s="94">
        <v>0.690616</v>
      </c>
      <c r="N281" s="39">
        <v>97200</v>
      </c>
      <c r="O281" s="94">
        <f t="shared" si="66"/>
        <v>0.698157</v>
      </c>
      <c r="P281" s="19"/>
      <c r="Q281" s="99">
        <f t="shared" si="67"/>
        <v>603207.648</v>
      </c>
      <c r="R281" s="100">
        <f t="shared" si="68"/>
        <v>67127.8752</v>
      </c>
      <c r="S281" s="100">
        <f t="shared" si="69"/>
        <v>0</v>
      </c>
      <c r="U281" s="62"/>
    </row>
    <row r="282" spans="1:21" ht="12.75">
      <c r="A282" s="18">
        <v>7</v>
      </c>
      <c r="B282" s="18" t="s">
        <v>111</v>
      </c>
      <c r="C282" s="18">
        <v>1985</v>
      </c>
      <c r="D282" s="18">
        <v>200</v>
      </c>
      <c r="E282" s="27" t="s">
        <v>26</v>
      </c>
      <c r="F282" s="29">
        <v>0.65</v>
      </c>
      <c r="G282" s="86">
        <f t="shared" si="63"/>
        <v>1.13</v>
      </c>
      <c r="H282" s="86">
        <v>1</v>
      </c>
      <c r="I282" s="86">
        <f t="shared" si="64"/>
        <v>1.13</v>
      </c>
      <c r="J282" s="95">
        <f t="shared" si="65"/>
        <v>127.68999999999998</v>
      </c>
      <c r="K282" s="94">
        <v>0.808102</v>
      </c>
      <c r="L282" s="21">
        <v>36000</v>
      </c>
      <c r="M282" s="94">
        <v>0.829117</v>
      </c>
      <c r="N282" s="39">
        <v>4050</v>
      </c>
      <c r="O282" s="94">
        <f t="shared" si="66"/>
        <v>0.808102</v>
      </c>
      <c r="P282" s="19"/>
      <c r="Q282" s="99">
        <f t="shared" si="67"/>
        <v>29091.672</v>
      </c>
      <c r="R282" s="100">
        <f t="shared" si="68"/>
        <v>3357.92385</v>
      </c>
      <c r="S282" s="100">
        <f t="shared" si="69"/>
        <v>0</v>
      </c>
      <c r="U282" s="62"/>
    </row>
    <row r="283" spans="1:21" ht="12.75">
      <c r="A283" s="18">
        <v>8</v>
      </c>
      <c r="B283" s="18"/>
      <c r="C283" s="18">
        <v>1985</v>
      </c>
      <c r="D283" s="18">
        <v>200</v>
      </c>
      <c r="E283" s="27" t="s">
        <v>26</v>
      </c>
      <c r="F283" s="29">
        <v>0.65</v>
      </c>
      <c r="G283" s="86">
        <f t="shared" si="63"/>
        <v>1.13</v>
      </c>
      <c r="H283" s="86">
        <v>1</v>
      </c>
      <c r="I283" s="86">
        <f t="shared" si="64"/>
        <v>1.13</v>
      </c>
      <c r="J283" s="95">
        <f t="shared" si="65"/>
        <v>127.68999999999998</v>
      </c>
      <c r="K283" s="94">
        <v>0.808102</v>
      </c>
      <c r="L283" s="21">
        <v>255000</v>
      </c>
      <c r="M283" s="94">
        <v>0.829117</v>
      </c>
      <c r="N283" s="39">
        <v>28687.5</v>
      </c>
      <c r="O283" s="94">
        <f t="shared" si="66"/>
        <v>0.808102</v>
      </c>
      <c r="P283" s="19"/>
      <c r="Q283" s="99">
        <f t="shared" si="67"/>
        <v>206066.01</v>
      </c>
      <c r="R283" s="100">
        <f t="shared" si="68"/>
        <v>23785.2939375</v>
      </c>
      <c r="S283" s="100">
        <f t="shared" si="69"/>
        <v>0</v>
      </c>
      <c r="U283" s="62"/>
    </row>
    <row r="284" spans="1:21" ht="12.75">
      <c r="A284" s="18">
        <v>9</v>
      </c>
      <c r="B284" s="18"/>
      <c r="C284" s="18">
        <v>1985</v>
      </c>
      <c r="D284" s="18">
        <v>200</v>
      </c>
      <c r="E284" s="27" t="s">
        <v>26</v>
      </c>
      <c r="F284" s="29">
        <v>0.65</v>
      </c>
      <c r="G284" s="86">
        <f t="shared" si="63"/>
        <v>1.13</v>
      </c>
      <c r="H284" s="86">
        <v>1</v>
      </c>
      <c r="I284" s="86">
        <f t="shared" si="64"/>
        <v>1.13</v>
      </c>
      <c r="J284" s="95">
        <f t="shared" si="65"/>
        <v>127.68999999999998</v>
      </c>
      <c r="K284" s="94">
        <v>0.808102</v>
      </c>
      <c r="L284" s="21">
        <v>63000</v>
      </c>
      <c r="M284" s="94">
        <v>0.829117</v>
      </c>
      <c r="N284" s="39">
        <v>7087.5</v>
      </c>
      <c r="O284" s="94">
        <f t="shared" si="66"/>
        <v>0.808102</v>
      </c>
      <c r="P284" s="19"/>
      <c r="Q284" s="99">
        <f t="shared" si="67"/>
        <v>50910.426</v>
      </c>
      <c r="R284" s="100">
        <f t="shared" si="68"/>
        <v>5876.3667374999995</v>
      </c>
      <c r="S284" s="100">
        <f t="shared" si="69"/>
        <v>0</v>
      </c>
      <c r="U284" s="62"/>
    </row>
    <row r="285" spans="1:21" ht="12.75">
      <c r="A285" s="18">
        <v>10</v>
      </c>
      <c r="B285" s="18"/>
      <c r="C285" s="18">
        <v>1985</v>
      </c>
      <c r="D285" s="18">
        <v>200</v>
      </c>
      <c r="E285" s="27" t="s">
        <v>26</v>
      </c>
      <c r="F285" s="29">
        <v>0.65</v>
      </c>
      <c r="G285" s="86">
        <f t="shared" si="63"/>
        <v>1.13</v>
      </c>
      <c r="H285" s="86">
        <v>1</v>
      </c>
      <c r="I285" s="86">
        <f t="shared" si="64"/>
        <v>1.13</v>
      </c>
      <c r="J285" s="95">
        <f t="shared" si="65"/>
        <v>127.68999999999998</v>
      </c>
      <c r="K285" s="94">
        <v>0.808102</v>
      </c>
      <c r="L285" s="23">
        <v>61000</v>
      </c>
      <c r="M285" s="94">
        <v>0.829117</v>
      </c>
      <c r="N285" s="39">
        <v>6862.5</v>
      </c>
      <c r="O285" s="94">
        <f t="shared" si="66"/>
        <v>0.808102</v>
      </c>
      <c r="P285" s="19"/>
      <c r="Q285" s="99">
        <f t="shared" si="67"/>
        <v>49294.222</v>
      </c>
      <c r="R285" s="100">
        <f t="shared" si="68"/>
        <v>5689.8154125</v>
      </c>
      <c r="S285" s="100">
        <f t="shared" si="69"/>
        <v>0</v>
      </c>
      <c r="U285" s="62"/>
    </row>
    <row r="286" spans="1:21" ht="12.75">
      <c r="A286" s="18">
        <v>11</v>
      </c>
      <c r="B286" s="18"/>
      <c r="C286" s="18">
        <v>1985</v>
      </c>
      <c r="D286" s="18">
        <v>200</v>
      </c>
      <c r="E286" s="27" t="s">
        <v>26</v>
      </c>
      <c r="F286" s="29">
        <v>0.65</v>
      </c>
      <c r="G286" s="86">
        <f t="shared" si="63"/>
        <v>1.13</v>
      </c>
      <c r="H286" s="86">
        <v>1</v>
      </c>
      <c r="I286" s="86">
        <f t="shared" si="64"/>
        <v>1.13</v>
      </c>
      <c r="J286" s="95">
        <f t="shared" si="65"/>
        <v>127.68999999999998</v>
      </c>
      <c r="K286" s="94">
        <v>0.808102</v>
      </c>
      <c r="L286" s="23">
        <v>70000</v>
      </c>
      <c r="M286" s="94">
        <v>0.829117</v>
      </c>
      <c r="N286" s="39">
        <v>7875</v>
      </c>
      <c r="O286" s="94">
        <f t="shared" si="66"/>
        <v>0.808102</v>
      </c>
      <c r="P286" s="19"/>
      <c r="Q286" s="99">
        <f t="shared" si="67"/>
        <v>56567.14</v>
      </c>
      <c r="R286" s="100">
        <f t="shared" si="68"/>
        <v>6529.296375</v>
      </c>
      <c r="S286" s="100">
        <f t="shared" si="69"/>
        <v>0</v>
      </c>
      <c r="U286" s="62"/>
    </row>
    <row r="287" spans="1:21" ht="12.75">
      <c r="A287" s="18">
        <v>12</v>
      </c>
      <c r="B287" s="18"/>
      <c r="C287" s="18">
        <v>1985</v>
      </c>
      <c r="D287" s="18">
        <v>200</v>
      </c>
      <c r="E287" s="27" t="s">
        <v>26</v>
      </c>
      <c r="F287" s="29">
        <v>0.65</v>
      </c>
      <c r="G287" s="86">
        <f t="shared" si="63"/>
        <v>1.13</v>
      </c>
      <c r="H287" s="86">
        <v>1</v>
      </c>
      <c r="I287" s="86">
        <f t="shared" si="64"/>
        <v>1.13</v>
      </c>
      <c r="J287" s="95">
        <f t="shared" si="65"/>
        <v>127.68999999999998</v>
      </c>
      <c r="K287" s="94">
        <v>0.808102</v>
      </c>
      <c r="L287" s="21">
        <v>104000</v>
      </c>
      <c r="M287" s="94">
        <v>0.829117</v>
      </c>
      <c r="N287" s="39">
        <v>11700</v>
      </c>
      <c r="O287" s="94">
        <f t="shared" si="66"/>
        <v>0.808102</v>
      </c>
      <c r="P287" s="19"/>
      <c r="Q287" s="99">
        <f t="shared" si="67"/>
        <v>84042.608</v>
      </c>
      <c r="R287" s="100">
        <f t="shared" si="68"/>
        <v>9700.6689</v>
      </c>
      <c r="S287" s="100">
        <f t="shared" si="69"/>
        <v>0</v>
      </c>
      <c r="U287" s="62"/>
    </row>
    <row r="288" spans="1:21" ht="12.75">
      <c r="A288" s="18">
        <v>13</v>
      </c>
      <c r="B288" s="18"/>
      <c r="C288" s="18">
        <v>1985</v>
      </c>
      <c r="D288" s="18">
        <v>200</v>
      </c>
      <c r="E288" s="27" t="s">
        <v>26</v>
      </c>
      <c r="F288" s="29">
        <v>0.65</v>
      </c>
      <c r="G288" s="86">
        <f t="shared" si="63"/>
        <v>1.13</v>
      </c>
      <c r="H288" s="86">
        <v>1</v>
      </c>
      <c r="I288" s="86">
        <f t="shared" si="64"/>
        <v>1.13</v>
      </c>
      <c r="J288" s="95">
        <f t="shared" si="65"/>
        <v>127.68999999999998</v>
      </c>
      <c r="K288" s="94">
        <v>0.808102</v>
      </c>
      <c r="L288" s="21">
        <v>660000</v>
      </c>
      <c r="M288" s="94">
        <v>0.829117</v>
      </c>
      <c r="N288" s="39">
        <v>74250</v>
      </c>
      <c r="O288" s="94">
        <f t="shared" si="66"/>
        <v>0.808102</v>
      </c>
      <c r="P288" s="19"/>
      <c r="Q288" s="99">
        <f t="shared" si="67"/>
        <v>533347.32</v>
      </c>
      <c r="R288" s="100">
        <f t="shared" si="68"/>
        <v>61561.93725</v>
      </c>
      <c r="S288" s="100">
        <f t="shared" si="69"/>
        <v>0</v>
      </c>
      <c r="U288" s="62"/>
    </row>
    <row r="289" spans="1:21" ht="12.75">
      <c r="A289" s="18">
        <v>14</v>
      </c>
      <c r="B289" s="18" t="s">
        <v>101</v>
      </c>
      <c r="C289" s="18">
        <v>1972</v>
      </c>
      <c r="D289" s="18">
        <v>20</v>
      </c>
      <c r="E289" s="27" t="s">
        <v>50</v>
      </c>
      <c r="F289" s="29">
        <v>0.65</v>
      </c>
      <c r="G289" s="86">
        <f t="shared" si="63"/>
        <v>1.13</v>
      </c>
      <c r="H289" s="86">
        <v>1</v>
      </c>
      <c r="I289" s="86">
        <f t="shared" si="64"/>
        <v>1.13</v>
      </c>
      <c r="J289" s="95">
        <f t="shared" si="65"/>
        <v>127.68999999999998</v>
      </c>
      <c r="K289" s="94">
        <v>0.401726</v>
      </c>
      <c r="L289" s="21">
        <v>1430000</v>
      </c>
      <c r="M289" s="94">
        <v>0.248916</v>
      </c>
      <c r="N289" s="39">
        <v>160875</v>
      </c>
      <c r="O289" s="94">
        <f t="shared" si="66"/>
        <v>0.401726</v>
      </c>
      <c r="P289" s="19"/>
      <c r="Q289" s="99">
        <f t="shared" si="67"/>
        <v>574468.18</v>
      </c>
      <c r="R289" s="100">
        <f t="shared" si="68"/>
        <v>40044.3615</v>
      </c>
      <c r="S289" s="100">
        <f t="shared" si="69"/>
        <v>0</v>
      </c>
      <c r="U289" s="62"/>
    </row>
    <row r="290" spans="1:21" ht="12.75">
      <c r="A290" s="18">
        <v>15</v>
      </c>
      <c r="B290" s="18" t="s">
        <v>101</v>
      </c>
      <c r="C290" s="18">
        <v>1972</v>
      </c>
      <c r="D290" s="18">
        <v>20</v>
      </c>
      <c r="E290" s="27" t="s">
        <v>50</v>
      </c>
      <c r="F290" s="29">
        <v>0.65</v>
      </c>
      <c r="G290" s="86">
        <f t="shared" si="63"/>
        <v>1.13</v>
      </c>
      <c r="H290" s="86">
        <v>1</v>
      </c>
      <c r="I290" s="86">
        <f t="shared" si="64"/>
        <v>1.13</v>
      </c>
      <c r="J290" s="95">
        <f t="shared" si="65"/>
        <v>127.68999999999998</v>
      </c>
      <c r="K290" s="94">
        <v>0.401726</v>
      </c>
      <c r="L290" s="21">
        <v>51000</v>
      </c>
      <c r="M290" s="94">
        <v>0.248916</v>
      </c>
      <c r="N290" s="39">
        <v>5737.5</v>
      </c>
      <c r="O290" s="94">
        <f t="shared" si="66"/>
        <v>0.401726</v>
      </c>
      <c r="P290" s="19"/>
      <c r="Q290" s="99">
        <f t="shared" si="67"/>
        <v>20488.026</v>
      </c>
      <c r="R290" s="100">
        <f t="shared" si="68"/>
        <v>1428.15555</v>
      </c>
      <c r="S290" s="100">
        <f t="shared" si="69"/>
        <v>0</v>
      </c>
      <c r="U290" s="62"/>
    </row>
    <row r="291" spans="1:21" ht="12.75">
      <c r="A291" s="18">
        <v>16</v>
      </c>
      <c r="B291" s="18" t="s">
        <v>101</v>
      </c>
      <c r="C291" s="18">
        <v>1972</v>
      </c>
      <c r="D291" s="18">
        <v>20</v>
      </c>
      <c r="E291" s="27" t="s">
        <v>50</v>
      </c>
      <c r="F291" s="29">
        <v>0.65</v>
      </c>
      <c r="G291" s="86">
        <f t="shared" si="63"/>
        <v>1.13</v>
      </c>
      <c r="H291" s="86">
        <v>1</v>
      </c>
      <c r="I291" s="86">
        <f t="shared" si="64"/>
        <v>1.13</v>
      </c>
      <c r="J291" s="95">
        <f t="shared" si="65"/>
        <v>127.68999999999998</v>
      </c>
      <c r="K291" s="94">
        <v>0.401726</v>
      </c>
      <c r="L291" s="21">
        <v>51000</v>
      </c>
      <c r="M291" s="94">
        <v>0.248916</v>
      </c>
      <c r="N291" s="39">
        <v>5737.5</v>
      </c>
      <c r="O291" s="94">
        <f t="shared" si="66"/>
        <v>0.401726</v>
      </c>
      <c r="P291" s="19"/>
      <c r="Q291" s="99">
        <f t="shared" si="67"/>
        <v>20488.026</v>
      </c>
      <c r="R291" s="100">
        <f t="shared" si="68"/>
        <v>1428.15555</v>
      </c>
      <c r="S291" s="100">
        <f t="shared" si="69"/>
        <v>0</v>
      </c>
      <c r="U291" s="62"/>
    </row>
    <row r="292" spans="1:21" ht="12.75">
      <c r="A292" s="18">
        <v>17</v>
      </c>
      <c r="B292" s="18" t="s">
        <v>112</v>
      </c>
      <c r="C292" s="18">
        <v>1963</v>
      </c>
      <c r="D292" s="18">
        <v>150</v>
      </c>
      <c r="E292" s="45">
        <f>3.5*0.63</f>
        <v>2.205</v>
      </c>
      <c r="F292" s="92">
        <v>1</v>
      </c>
      <c r="G292" s="86">
        <f t="shared" si="63"/>
        <v>1.2</v>
      </c>
      <c r="H292" s="86">
        <v>1</v>
      </c>
      <c r="I292" s="86">
        <f t="shared" si="64"/>
        <v>1.2</v>
      </c>
      <c r="J292" s="95">
        <f t="shared" si="65"/>
        <v>135.6</v>
      </c>
      <c r="K292" s="94">
        <v>0.842507</v>
      </c>
      <c r="L292" s="21">
        <v>1076400</v>
      </c>
      <c r="M292" s="94">
        <v>0.865179</v>
      </c>
      <c r="N292" s="39">
        <v>121095</v>
      </c>
      <c r="O292" s="94">
        <f t="shared" si="66"/>
        <v>0.842507</v>
      </c>
      <c r="P292" s="19"/>
      <c r="Q292" s="99">
        <f t="shared" si="67"/>
        <v>906874.5348</v>
      </c>
      <c r="R292" s="100">
        <f t="shared" si="68"/>
        <v>104768.851005</v>
      </c>
      <c r="S292" s="100">
        <f t="shared" si="69"/>
        <v>0</v>
      </c>
      <c r="U292" s="62"/>
    </row>
    <row r="293" spans="1:21" ht="12.75">
      <c r="A293" s="18">
        <v>18</v>
      </c>
      <c r="B293" s="18" t="s">
        <v>112</v>
      </c>
      <c r="C293" s="18">
        <v>1972</v>
      </c>
      <c r="D293" s="18">
        <v>75</v>
      </c>
      <c r="E293" s="27" t="s">
        <v>113</v>
      </c>
      <c r="F293" s="29">
        <v>0.8</v>
      </c>
      <c r="G293" s="86">
        <f t="shared" si="63"/>
        <v>1.1600000000000001</v>
      </c>
      <c r="H293" s="86">
        <v>1</v>
      </c>
      <c r="I293" s="86">
        <f t="shared" si="64"/>
        <v>1.1600000000000001</v>
      </c>
      <c r="J293" s="95">
        <f t="shared" si="65"/>
        <v>131.08</v>
      </c>
      <c r="K293" s="94">
        <v>0.687058</v>
      </c>
      <c r="L293" s="21">
        <v>701112</v>
      </c>
      <c r="M293" s="94">
        <v>0.673252</v>
      </c>
      <c r="N293" s="39">
        <v>78875.1</v>
      </c>
      <c r="O293" s="94">
        <f t="shared" si="66"/>
        <v>0.687058</v>
      </c>
      <c r="P293" s="19"/>
      <c r="Q293" s="99">
        <f t="shared" si="67"/>
        <v>481704.60849599994</v>
      </c>
      <c r="R293" s="100">
        <f t="shared" si="68"/>
        <v>53102.8188252</v>
      </c>
      <c r="S293" s="100">
        <f t="shared" si="69"/>
        <v>0</v>
      </c>
      <c r="U293" s="62"/>
    </row>
    <row r="294" spans="1:21" ht="12.75">
      <c r="A294" s="18">
        <v>19</v>
      </c>
      <c r="B294" s="18" t="s">
        <v>112</v>
      </c>
      <c r="C294" s="18">
        <v>1972</v>
      </c>
      <c r="D294" s="18">
        <v>75</v>
      </c>
      <c r="E294" s="27" t="s">
        <v>113</v>
      </c>
      <c r="F294" s="29">
        <v>0.8</v>
      </c>
      <c r="G294" s="86">
        <f t="shared" si="63"/>
        <v>1.1600000000000001</v>
      </c>
      <c r="H294" s="86">
        <v>1</v>
      </c>
      <c r="I294" s="86">
        <f t="shared" si="64"/>
        <v>1.1600000000000001</v>
      </c>
      <c r="J294" s="95">
        <f t="shared" si="65"/>
        <v>131.08</v>
      </c>
      <c r="K294" s="94">
        <v>0.687058</v>
      </c>
      <c r="L294" s="21">
        <v>631128</v>
      </c>
      <c r="M294" s="94">
        <v>0.673252</v>
      </c>
      <c r="N294" s="39">
        <v>71001.9</v>
      </c>
      <c r="O294" s="94">
        <f t="shared" si="66"/>
        <v>0.687058</v>
      </c>
      <c r="P294" s="19"/>
      <c r="Q294" s="99">
        <f t="shared" si="67"/>
        <v>433621.54142399994</v>
      </c>
      <c r="R294" s="100">
        <f t="shared" si="68"/>
        <v>47802.171178799996</v>
      </c>
      <c r="S294" s="100">
        <f t="shared" si="69"/>
        <v>0</v>
      </c>
      <c r="U294" s="62"/>
    </row>
    <row r="295" spans="1:21" ht="12.75">
      <c r="A295" s="18">
        <v>20</v>
      </c>
      <c r="B295" s="18" t="s">
        <v>112</v>
      </c>
      <c r="C295" s="18">
        <v>1972</v>
      </c>
      <c r="D295" s="18">
        <v>75</v>
      </c>
      <c r="E295" s="27" t="s">
        <v>113</v>
      </c>
      <c r="F295" s="29">
        <v>0.8</v>
      </c>
      <c r="G295" s="86">
        <f t="shared" si="63"/>
        <v>1.1600000000000001</v>
      </c>
      <c r="H295" s="86">
        <v>1</v>
      </c>
      <c r="I295" s="86">
        <f t="shared" si="64"/>
        <v>1.1600000000000001</v>
      </c>
      <c r="J295" s="95">
        <f t="shared" si="65"/>
        <v>131.08</v>
      </c>
      <c r="K295" s="94">
        <v>0.687058</v>
      </c>
      <c r="L295" s="21">
        <v>1564500</v>
      </c>
      <c r="M295" s="94">
        <v>0.673252</v>
      </c>
      <c r="N295" s="39">
        <v>176006.25</v>
      </c>
      <c r="O295" s="94">
        <f t="shared" si="66"/>
        <v>0.687058</v>
      </c>
      <c r="P295" s="19"/>
      <c r="Q295" s="99">
        <f t="shared" si="67"/>
        <v>1074902.241</v>
      </c>
      <c r="R295" s="100">
        <f t="shared" si="68"/>
        <v>118496.55982499999</v>
      </c>
      <c r="S295" s="100">
        <f t="shared" si="69"/>
        <v>0</v>
      </c>
      <c r="U295" s="62"/>
    </row>
    <row r="296" spans="1:21" ht="12.75">
      <c r="A296" s="18">
        <v>21</v>
      </c>
      <c r="B296" s="18" t="s">
        <v>112</v>
      </c>
      <c r="C296" s="18">
        <v>1972</v>
      </c>
      <c r="D296" s="18">
        <v>75</v>
      </c>
      <c r="E296" s="27" t="s">
        <v>113</v>
      </c>
      <c r="F296" s="29">
        <v>0.8</v>
      </c>
      <c r="G296" s="86">
        <f t="shared" si="63"/>
        <v>1.1600000000000001</v>
      </c>
      <c r="H296" s="86">
        <v>1</v>
      </c>
      <c r="I296" s="86">
        <f t="shared" si="64"/>
        <v>1.1600000000000001</v>
      </c>
      <c r="J296" s="95">
        <f t="shared" si="65"/>
        <v>131.08</v>
      </c>
      <c r="K296" s="94">
        <v>0.687058</v>
      </c>
      <c r="L296" s="21">
        <v>764000</v>
      </c>
      <c r="M296" s="94">
        <v>0.673252</v>
      </c>
      <c r="N296" s="39">
        <v>85950</v>
      </c>
      <c r="O296" s="94">
        <f t="shared" si="66"/>
        <v>0.687058</v>
      </c>
      <c r="P296" s="19"/>
      <c r="Q296" s="99">
        <f t="shared" si="67"/>
        <v>524912.3119999999</v>
      </c>
      <c r="R296" s="100">
        <f t="shared" si="68"/>
        <v>57866.009399999995</v>
      </c>
      <c r="S296" s="100">
        <f t="shared" si="69"/>
        <v>0</v>
      </c>
      <c r="U296" s="62"/>
    </row>
    <row r="297" spans="1:21" ht="13.5" thickBot="1">
      <c r="A297" s="18">
        <v>22</v>
      </c>
      <c r="B297" s="18" t="s">
        <v>112</v>
      </c>
      <c r="C297" s="18">
        <v>1972</v>
      </c>
      <c r="D297" s="18">
        <v>75</v>
      </c>
      <c r="E297" s="27" t="s">
        <v>113</v>
      </c>
      <c r="F297" s="29">
        <v>0.8</v>
      </c>
      <c r="G297" s="86">
        <f t="shared" si="63"/>
        <v>1.1600000000000001</v>
      </c>
      <c r="H297" s="86">
        <v>1</v>
      </c>
      <c r="I297" s="86">
        <f t="shared" si="64"/>
        <v>1.1600000000000001</v>
      </c>
      <c r="J297" s="95">
        <f t="shared" si="65"/>
        <v>131.08</v>
      </c>
      <c r="K297" s="94">
        <v>0.687058</v>
      </c>
      <c r="L297" s="21"/>
      <c r="M297" s="94">
        <v>0.673252</v>
      </c>
      <c r="N297" s="19"/>
      <c r="O297" s="94">
        <f t="shared" si="66"/>
        <v>0.687058</v>
      </c>
      <c r="P297" s="19"/>
      <c r="Q297" s="99">
        <f t="shared" si="67"/>
        <v>0</v>
      </c>
      <c r="R297" s="100">
        <f t="shared" si="68"/>
        <v>0</v>
      </c>
      <c r="S297" s="100">
        <f t="shared" si="69"/>
        <v>0</v>
      </c>
      <c r="U297" s="62"/>
    </row>
    <row r="298" spans="11:19" ht="13.5" thickBot="1">
      <c r="K298" s="112" t="s">
        <v>218</v>
      </c>
      <c r="L298" s="113">
        <f>SUM(L181:L207)+SUM(L213:L237)+SUM(L243:L270)+SUM(L276:L297)</f>
        <v>42546387</v>
      </c>
      <c r="M298" s="24"/>
      <c r="N298" s="113">
        <f>SUM(N181:N207)+SUM(N213:N237)+SUM(N243:N270)+SUM(N276:N297)</f>
        <v>4644459.7875</v>
      </c>
      <c r="P298" s="113">
        <v>25000</v>
      </c>
      <c r="Q298" s="113">
        <f>SUM(Q181:Q207)+SUM(Q213:Q237)+SUM(Q243:Q270)+SUM(Q276:Q297)</f>
        <v>27838430.576227</v>
      </c>
      <c r="R298" s="113">
        <f>SUM(R181:R207)+SUM(R213:R237)+SUM(R243:R270)+SUM(R276:R297)</f>
        <v>2804820.477550313</v>
      </c>
      <c r="S298" s="113">
        <f>SUM(S181:S207)+SUM(S213:S237)+SUM(S243:S270)+SUM(S276:S297)</f>
        <v>24450.55</v>
      </c>
    </row>
    <row r="299" spans="11:14" ht="12.75">
      <c r="K299" s="24"/>
      <c r="L299" s="4"/>
      <c r="M299" s="24"/>
      <c r="N299" s="4"/>
    </row>
    <row r="300" spans="11:14" ht="12.75">
      <c r="K300" s="24"/>
      <c r="L300" s="4"/>
      <c r="M300" s="24"/>
      <c r="N300" s="4"/>
    </row>
    <row r="301" spans="1:14" ht="12.75">
      <c r="A301" s="17" t="s">
        <v>57</v>
      </c>
      <c r="K301" s="24"/>
      <c r="L301" s="4"/>
      <c r="M301" s="24"/>
      <c r="N301" s="4"/>
    </row>
    <row r="302" spans="1:21" s="24" customFormat="1" ht="12">
      <c r="A302" s="18">
        <v>1</v>
      </c>
      <c r="B302" s="18">
        <v>2</v>
      </c>
      <c r="C302" s="18">
        <v>3</v>
      </c>
      <c r="D302" s="18">
        <v>4</v>
      </c>
      <c r="E302" s="18">
        <v>5</v>
      </c>
      <c r="F302" s="85" t="s">
        <v>204</v>
      </c>
      <c r="G302" s="85" t="s">
        <v>205</v>
      </c>
      <c r="H302" s="41" t="s">
        <v>206</v>
      </c>
      <c r="I302" s="18" t="s">
        <v>207</v>
      </c>
      <c r="J302" s="18">
        <v>6</v>
      </c>
      <c r="K302" s="18">
        <v>25</v>
      </c>
      <c r="L302" s="18">
        <v>26</v>
      </c>
      <c r="M302" s="18">
        <v>28</v>
      </c>
      <c r="N302" s="18">
        <v>29</v>
      </c>
      <c r="O302" s="18">
        <v>30</v>
      </c>
      <c r="P302" s="18">
        <v>31</v>
      </c>
      <c r="Q302" s="18">
        <v>32</v>
      </c>
      <c r="R302" s="18">
        <v>33</v>
      </c>
      <c r="S302" s="18">
        <v>34</v>
      </c>
      <c r="U302" s="62"/>
    </row>
    <row r="303" spans="1:21" ht="12">
      <c r="A303" s="2" t="s">
        <v>190</v>
      </c>
      <c r="B303" s="36" t="s">
        <v>13</v>
      </c>
      <c r="C303" s="33" t="s">
        <v>14</v>
      </c>
      <c r="D303" s="36" t="s">
        <v>176</v>
      </c>
      <c r="E303" s="33" t="s">
        <v>15</v>
      </c>
      <c r="F303" s="36" t="s">
        <v>208</v>
      </c>
      <c r="G303" s="36"/>
      <c r="H303" s="32"/>
      <c r="I303" s="37"/>
      <c r="J303" s="36" t="s">
        <v>191</v>
      </c>
      <c r="K303" s="36" t="s">
        <v>192</v>
      </c>
      <c r="L303" s="36" t="s">
        <v>16</v>
      </c>
      <c r="M303" s="36" t="s">
        <v>193</v>
      </c>
      <c r="N303" s="33" t="s">
        <v>17</v>
      </c>
      <c r="O303" s="36" t="s">
        <v>194</v>
      </c>
      <c r="P303" s="36" t="s">
        <v>195</v>
      </c>
      <c r="Q303" s="33" t="s">
        <v>196</v>
      </c>
      <c r="R303" s="36" t="s">
        <v>193</v>
      </c>
      <c r="S303" s="36" t="s">
        <v>197</v>
      </c>
      <c r="U303" s="32"/>
    </row>
    <row r="304" spans="1:21" ht="12">
      <c r="A304" s="61"/>
      <c r="B304" s="37"/>
      <c r="C304" s="32" t="s">
        <v>18</v>
      </c>
      <c r="D304" s="37" t="s">
        <v>198</v>
      </c>
      <c r="E304" s="32" t="s">
        <v>19</v>
      </c>
      <c r="F304" s="37"/>
      <c r="G304" s="37"/>
      <c r="H304" s="32"/>
      <c r="I304" s="37"/>
      <c r="J304" s="37" t="s">
        <v>199</v>
      </c>
      <c r="K304" s="37" t="s">
        <v>200</v>
      </c>
      <c r="L304" s="37" t="s">
        <v>20</v>
      </c>
      <c r="M304" s="37" t="s">
        <v>200</v>
      </c>
      <c r="N304" s="32" t="s">
        <v>20</v>
      </c>
      <c r="O304" s="37" t="s">
        <v>200</v>
      </c>
      <c r="P304" s="37" t="s">
        <v>20</v>
      </c>
      <c r="Q304" s="32" t="s">
        <v>200</v>
      </c>
      <c r="R304" s="37" t="s">
        <v>200</v>
      </c>
      <c r="S304" s="37" t="s">
        <v>200</v>
      </c>
      <c r="U304" s="32"/>
    </row>
    <row r="305" spans="1:21" ht="12.75">
      <c r="A305" s="63"/>
      <c r="B305" s="29"/>
      <c r="C305" s="64"/>
      <c r="D305" s="29"/>
      <c r="E305" s="64"/>
      <c r="F305" s="29"/>
      <c r="G305" s="64"/>
      <c r="H305" s="10"/>
      <c r="I305" s="29"/>
      <c r="J305" s="38" t="s">
        <v>201</v>
      </c>
      <c r="K305" s="38" t="s">
        <v>202</v>
      </c>
      <c r="L305" s="29"/>
      <c r="M305" s="38" t="s">
        <v>202</v>
      </c>
      <c r="N305" s="64"/>
      <c r="O305" s="38" t="s">
        <v>202</v>
      </c>
      <c r="P305" s="29"/>
      <c r="Q305" s="64" t="s">
        <v>203</v>
      </c>
      <c r="R305" s="38" t="s">
        <v>203</v>
      </c>
      <c r="S305" s="29" t="s">
        <v>203</v>
      </c>
      <c r="U305" s="62"/>
    </row>
    <row r="306" spans="1:21" ht="12.75">
      <c r="A306" s="70"/>
      <c r="B306" s="174" t="s">
        <v>114</v>
      </c>
      <c r="C306" s="174"/>
      <c r="D306" s="174"/>
      <c r="E306" s="70"/>
      <c r="F306" s="70"/>
      <c r="G306" s="71"/>
      <c r="H306" s="70"/>
      <c r="I306" s="71"/>
      <c r="J306" s="70"/>
      <c r="K306" s="42"/>
      <c r="L306" s="70"/>
      <c r="M306" s="42"/>
      <c r="N306" s="70"/>
      <c r="O306" s="70"/>
      <c r="P306" s="70"/>
      <c r="Q306" s="70"/>
      <c r="R306" s="70"/>
      <c r="U306" s="80"/>
    </row>
    <row r="307" spans="1:21" ht="12.75">
      <c r="A307" s="29">
        <v>1</v>
      </c>
      <c r="B307" s="31" t="s">
        <v>115</v>
      </c>
      <c r="C307" s="29">
        <v>1981</v>
      </c>
      <c r="D307" s="29">
        <v>6</v>
      </c>
      <c r="E307" s="29">
        <v>0.05</v>
      </c>
      <c r="F307" s="29">
        <v>0.6</v>
      </c>
      <c r="G307" s="86">
        <f aca="true" t="shared" si="70" ref="G307:G314">1+F307*(0.2)</f>
        <v>1.12</v>
      </c>
      <c r="H307" s="86">
        <v>1</v>
      </c>
      <c r="I307" s="86">
        <f aca="true" t="shared" si="71" ref="I307:I314">G307*H307</f>
        <v>1.12</v>
      </c>
      <c r="J307" s="95">
        <f aca="true" t="shared" si="72" ref="J307:J314">I307*113</f>
        <v>126.56000000000002</v>
      </c>
      <c r="K307" s="86">
        <v>0.345824</v>
      </c>
      <c r="L307" s="30">
        <v>5625000</v>
      </c>
      <c r="M307" s="86">
        <v>0.493915</v>
      </c>
      <c r="N307" s="31"/>
      <c r="O307" s="94">
        <f aca="true" t="shared" si="73" ref="O307:O314">K307</f>
        <v>0.345824</v>
      </c>
      <c r="P307" s="31"/>
      <c r="Q307" s="99">
        <f aca="true" t="shared" si="74" ref="Q307:Q314">K307*L307</f>
        <v>1945260</v>
      </c>
      <c r="R307" s="100">
        <f aca="true" t="shared" si="75" ref="R307:R314">M307*N307</f>
        <v>0</v>
      </c>
      <c r="S307" s="100">
        <f aca="true" t="shared" si="76" ref="S307:S314">O307*P307</f>
        <v>0</v>
      </c>
      <c r="U307" s="62"/>
    </row>
    <row r="308" spans="1:21" ht="12.75">
      <c r="A308" s="18">
        <v>2</v>
      </c>
      <c r="B308" s="19" t="s">
        <v>116</v>
      </c>
      <c r="C308" s="18">
        <v>1979</v>
      </c>
      <c r="D308" s="18">
        <v>6</v>
      </c>
      <c r="E308" s="18">
        <v>0.05</v>
      </c>
      <c r="F308" s="29">
        <v>0.6</v>
      </c>
      <c r="G308" s="86">
        <f t="shared" si="70"/>
        <v>1.12</v>
      </c>
      <c r="H308" s="86">
        <v>1</v>
      </c>
      <c r="I308" s="86">
        <f t="shared" si="71"/>
        <v>1.12</v>
      </c>
      <c r="J308" s="95">
        <f t="shared" si="72"/>
        <v>126.56000000000002</v>
      </c>
      <c r="K308" s="86">
        <v>0.345824</v>
      </c>
      <c r="L308" s="21">
        <v>7837500</v>
      </c>
      <c r="M308" s="86">
        <v>0.493915</v>
      </c>
      <c r="N308" s="19"/>
      <c r="O308" s="94">
        <f t="shared" si="73"/>
        <v>0.345824</v>
      </c>
      <c r="P308" s="19"/>
      <c r="Q308" s="99">
        <f t="shared" si="74"/>
        <v>2710395.6</v>
      </c>
      <c r="R308" s="100">
        <f t="shared" si="75"/>
        <v>0</v>
      </c>
      <c r="S308" s="100">
        <f t="shared" si="76"/>
        <v>0</v>
      </c>
      <c r="U308" s="62"/>
    </row>
    <row r="309" spans="1:21" ht="12.75">
      <c r="A309" s="18">
        <v>3</v>
      </c>
      <c r="B309" s="19" t="s">
        <v>117</v>
      </c>
      <c r="C309" s="18">
        <v>1989</v>
      </c>
      <c r="D309" s="18">
        <v>6</v>
      </c>
      <c r="E309" s="18">
        <v>0.05</v>
      </c>
      <c r="F309" s="29">
        <v>0.6</v>
      </c>
      <c r="G309" s="86">
        <f t="shared" si="70"/>
        <v>1.12</v>
      </c>
      <c r="H309" s="86">
        <v>1</v>
      </c>
      <c r="I309" s="86">
        <f t="shared" si="71"/>
        <v>1.12</v>
      </c>
      <c r="J309" s="95">
        <f t="shared" si="72"/>
        <v>126.56000000000002</v>
      </c>
      <c r="K309" s="86">
        <v>0.345824</v>
      </c>
      <c r="L309" s="21">
        <v>825000</v>
      </c>
      <c r="M309" s="86">
        <v>0.493915</v>
      </c>
      <c r="N309" s="19"/>
      <c r="O309" s="94">
        <f t="shared" si="73"/>
        <v>0.345824</v>
      </c>
      <c r="P309" s="19"/>
      <c r="Q309" s="99">
        <f t="shared" si="74"/>
        <v>285304.8</v>
      </c>
      <c r="R309" s="100">
        <f t="shared" si="75"/>
        <v>0</v>
      </c>
      <c r="S309" s="100">
        <f t="shared" si="76"/>
        <v>0</v>
      </c>
      <c r="U309" s="62"/>
    </row>
    <row r="310" spans="1:21" ht="12.75">
      <c r="A310" s="18">
        <v>4</v>
      </c>
      <c r="B310" s="19" t="s">
        <v>118</v>
      </c>
      <c r="C310" s="18" t="s">
        <v>90</v>
      </c>
      <c r="D310" s="18">
        <v>6</v>
      </c>
      <c r="E310" s="18">
        <v>0.05</v>
      </c>
      <c r="F310" s="29">
        <v>0.6</v>
      </c>
      <c r="G310" s="86">
        <f t="shared" si="70"/>
        <v>1.12</v>
      </c>
      <c r="H310" s="86">
        <v>1</v>
      </c>
      <c r="I310" s="86">
        <f t="shared" si="71"/>
        <v>1.12</v>
      </c>
      <c r="J310" s="95">
        <f t="shared" si="72"/>
        <v>126.56000000000002</v>
      </c>
      <c r="K310" s="86">
        <v>0.345824</v>
      </c>
      <c r="L310" s="21">
        <v>2800000</v>
      </c>
      <c r="M310" s="86">
        <v>0.493915</v>
      </c>
      <c r="N310" s="19"/>
      <c r="O310" s="94">
        <f t="shared" si="73"/>
        <v>0.345824</v>
      </c>
      <c r="P310" s="19"/>
      <c r="Q310" s="99">
        <f t="shared" si="74"/>
        <v>968307.2000000001</v>
      </c>
      <c r="R310" s="100">
        <f t="shared" si="75"/>
        <v>0</v>
      </c>
      <c r="S310" s="100">
        <f t="shared" si="76"/>
        <v>0</v>
      </c>
      <c r="U310" s="62"/>
    </row>
    <row r="311" spans="1:21" ht="12.75">
      <c r="A311" s="18">
        <v>5</v>
      </c>
      <c r="B311" s="19" t="s">
        <v>119</v>
      </c>
      <c r="C311" s="18">
        <v>1992</v>
      </c>
      <c r="D311" s="18">
        <v>6</v>
      </c>
      <c r="E311" s="18">
        <v>0.05</v>
      </c>
      <c r="F311" s="29">
        <v>0.6</v>
      </c>
      <c r="G311" s="86">
        <f t="shared" si="70"/>
        <v>1.12</v>
      </c>
      <c r="H311" s="86">
        <v>1</v>
      </c>
      <c r="I311" s="86">
        <f t="shared" si="71"/>
        <v>1.12</v>
      </c>
      <c r="J311" s="95">
        <f t="shared" si="72"/>
        <v>126.56000000000002</v>
      </c>
      <c r="K311" s="86">
        <v>0.345824</v>
      </c>
      <c r="L311" s="23">
        <v>2231250</v>
      </c>
      <c r="M311" s="86">
        <v>0.493915</v>
      </c>
      <c r="N311" s="19"/>
      <c r="O311" s="94">
        <f t="shared" si="73"/>
        <v>0.345824</v>
      </c>
      <c r="P311" s="19"/>
      <c r="Q311" s="99">
        <f t="shared" si="74"/>
        <v>771619.8</v>
      </c>
      <c r="R311" s="100">
        <f t="shared" si="75"/>
        <v>0</v>
      </c>
      <c r="S311" s="100">
        <f t="shared" si="76"/>
        <v>0</v>
      </c>
      <c r="U311" s="62"/>
    </row>
    <row r="312" spans="1:21" ht="12.75">
      <c r="A312" s="18">
        <v>6</v>
      </c>
      <c r="B312" s="19" t="s">
        <v>120</v>
      </c>
      <c r="C312" s="18" t="s">
        <v>90</v>
      </c>
      <c r="D312" s="18">
        <v>6</v>
      </c>
      <c r="E312" s="18">
        <v>0.05</v>
      </c>
      <c r="F312" s="29">
        <v>0.6</v>
      </c>
      <c r="G312" s="86">
        <f t="shared" si="70"/>
        <v>1.12</v>
      </c>
      <c r="H312" s="86">
        <v>1</v>
      </c>
      <c r="I312" s="86">
        <f t="shared" si="71"/>
        <v>1.12</v>
      </c>
      <c r="J312" s="95">
        <f t="shared" si="72"/>
        <v>126.56000000000002</v>
      </c>
      <c r="K312" s="86">
        <v>0.345824</v>
      </c>
      <c r="L312" s="21">
        <v>900000</v>
      </c>
      <c r="M312" s="86">
        <v>0.493915</v>
      </c>
      <c r="N312" s="19"/>
      <c r="O312" s="94">
        <f t="shared" si="73"/>
        <v>0.345824</v>
      </c>
      <c r="P312" s="19"/>
      <c r="Q312" s="99">
        <f t="shared" si="74"/>
        <v>311241.60000000003</v>
      </c>
      <c r="R312" s="100">
        <f t="shared" si="75"/>
        <v>0</v>
      </c>
      <c r="S312" s="100">
        <f t="shared" si="76"/>
        <v>0</v>
      </c>
      <c r="U312" s="62"/>
    </row>
    <row r="313" spans="1:21" ht="12.75">
      <c r="A313" s="18">
        <v>7</v>
      </c>
      <c r="B313" s="19" t="s">
        <v>121</v>
      </c>
      <c r="C313" s="18" t="s">
        <v>90</v>
      </c>
      <c r="D313" s="18">
        <v>6</v>
      </c>
      <c r="E313" s="18">
        <v>0.05</v>
      </c>
      <c r="F313" s="29">
        <v>0.6</v>
      </c>
      <c r="G313" s="86">
        <f t="shared" si="70"/>
        <v>1.12</v>
      </c>
      <c r="H313" s="86">
        <v>1</v>
      </c>
      <c r="I313" s="86">
        <f t="shared" si="71"/>
        <v>1.12</v>
      </c>
      <c r="J313" s="95">
        <f t="shared" si="72"/>
        <v>126.56000000000002</v>
      </c>
      <c r="K313" s="86">
        <v>0.345824</v>
      </c>
      <c r="L313" s="22"/>
      <c r="M313" s="86">
        <v>0.493915</v>
      </c>
      <c r="N313" s="19"/>
      <c r="O313" s="94">
        <f t="shared" si="73"/>
        <v>0.345824</v>
      </c>
      <c r="P313" s="19"/>
      <c r="Q313" s="99">
        <f t="shared" si="74"/>
        <v>0</v>
      </c>
      <c r="R313" s="100">
        <f t="shared" si="75"/>
        <v>0</v>
      </c>
      <c r="S313" s="100">
        <f t="shared" si="76"/>
        <v>0</v>
      </c>
      <c r="U313" s="62"/>
    </row>
    <row r="314" spans="1:21" ht="12.75">
      <c r="A314" s="18">
        <v>8</v>
      </c>
      <c r="B314" s="19" t="s">
        <v>122</v>
      </c>
      <c r="C314" s="18">
        <v>1997</v>
      </c>
      <c r="D314" s="18">
        <v>6</v>
      </c>
      <c r="E314" s="18">
        <v>0.05</v>
      </c>
      <c r="F314" s="29">
        <v>0.6</v>
      </c>
      <c r="G314" s="86">
        <f t="shared" si="70"/>
        <v>1.12</v>
      </c>
      <c r="H314" s="86">
        <v>1</v>
      </c>
      <c r="I314" s="86">
        <f t="shared" si="71"/>
        <v>1.12</v>
      </c>
      <c r="J314" s="95">
        <f t="shared" si="72"/>
        <v>126.56000000000002</v>
      </c>
      <c r="K314" s="86">
        <v>0.345824</v>
      </c>
      <c r="L314" s="21">
        <v>3579860</v>
      </c>
      <c r="M314" s="86">
        <v>0.493915</v>
      </c>
      <c r="N314" s="19"/>
      <c r="O314" s="94">
        <f t="shared" si="73"/>
        <v>0.345824</v>
      </c>
      <c r="P314" s="19"/>
      <c r="Q314" s="99">
        <f t="shared" si="74"/>
        <v>1238001.5046400002</v>
      </c>
      <c r="R314" s="100">
        <f t="shared" si="75"/>
        <v>0</v>
      </c>
      <c r="S314" s="100">
        <f t="shared" si="76"/>
        <v>0</v>
      </c>
      <c r="U314" s="62"/>
    </row>
    <row r="315" spans="1:21" ht="12.75">
      <c r="A315" s="28"/>
      <c r="B315" s="68"/>
      <c r="C315" s="28"/>
      <c r="D315" s="28"/>
      <c r="E315" s="28"/>
      <c r="F315" s="28"/>
      <c r="G315" s="28"/>
      <c r="H315" s="68"/>
      <c r="I315" s="28"/>
      <c r="J315" s="68"/>
      <c r="K315" s="28"/>
      <c r="L315" s="28"/>
      <c r="M315" s="28"/>
      <c r="N315" s="68"/>
      <c r="O315" s="68"/>
      <c r="P315" s="68"/>
      <c r="Q315" s="68"/>
      <c r="R315" s="68"/>
      <c r="S315" s="19"/>
      <c r="U315" s="62"/>
    </row>
    <row r="316" spans="1:21" ht="12.75">
      <c r="A316" s="42"/>
      <c r="B316" s="174" t="s">
        <v>123</v>
      </c>
      <c r="C316" s="174"/>
      <c r="D316" s="174"/>
      <c r="E316" s="42"/>
      <c r="F316" s="42"/>
      <c r="G316" s="42"/>
      <c r="H316" s="70"/>
      <c r="I316" s="42"/>
      <c r="J316" s="70"/>
      <c r="K316" s="42"/>
      <c r="L316" s="74"/>
      <c r="M316" s="42"/>
      <c r="N316" s="70"/>
      <c r="O316" s="70"/>
      <c r="P316" s="70"/>
      <c r="Q316" s="70"/>
      <c r="R316" s="70"/>
      <c r="S316" s="70"/>
      <c r="U316" s="62"/>
    </row>
    <row r="317" spans="1:21" ht="12.75">
      <c r="A317" s="29">
        <v>9</v>
      </c>
      <c r="B317" s="31" t="s">
        <v>124</v>
      </c>
      <c r="C317" s="29"/>
      <c r="D317" s="29">
        <v>6</v>
      </c>
      <c r="E317" s="29">
        <v>0.05</v>
      </c>
      <c r="F317" s="29">
        <v>0.6</v>
      </c>
      <c r="G317" s="86">
        <f>1+F317*(0.2)</f>
        <v>1.12</v>
      </c>
      <c r="H317" s="86">
        <v>1</v>
      </c>
      <c r="I317" s="86">
        <f>G317*H317</f>
        <v>1.12</v>
      </c>
      <c r="J317" s="95">
        <f>I317*113</f>
        <v>126.56000000000002</v>
      </c>
      <c r="K317" s="86">
        <v>0.345824</v>
      </c>
      <c r="L317" s="30">
        <v>4000000</v>
      </c>
      <c r="M317" s="86">
        <v>0.493915</v>
      </c>
      <c r="N317" s="30">
        <v>300000</v>
      </c>
      <c r="O317" s="94">
        <f>K317</f>
        <v>0.345824</v>
      </c>
      <c r="P317" s="30">
        <v>200000</v>
      </c>
      <c r="Q317" s="99">
        <f>K317*L317</f>
        <v>1383296</v>
      </c>
      <c r="R317" s="100">
        <f>M317*N317</f>
        <v>148174.5</v>
      </c>
      <c r="S317" s="100">
        <f>O317*P317</f>
        <v>69164.8</v>
      </c>
      <c r="U317" s="62"/>
    </row>
    <row r="318" spans="1:21" ht="12.75">
      <c r="A318" s="18">
        <v>10</v>
      </c>
      <c r="B318" s="19" t="s">
        <v>125</v>
      </c>
      <c r="C318" s="18">
        <v>1980</v>
      </c>
      <c r="D318" s="18">
        <v>6</v>
      </c>
      <c r="E318" s="18">
        <v>0.05</v>
      </c>
      <c r="F318" s="29">
        <v>0.6</v>
      </c>
      <c r="G318" s="86">
        <f>1+F318*(0.2)</f>
        <v>1.12</v>
      </c>
      <c r="H318" s="86">
        <v>1</v>
      </c>
      <c r="I318" s="86">
        <f>G318*H318</f>
        <v>1.12</v>
      </c>
      <c r="J318" s="95">
        <f>I318*113</f>
        <v>126.56000000000002</v>
      </c>
      <c r="K318" s="86">
        <v>0.345824</v>
      </c>
      <c r="L318" s="21">
        <v>240000</v>
      </c>
      <c r="M318" s="86">
        <v>0.493915</v>
      </c>
      <c r="N318" s="19"/>
      <c r="O318" s="94">
        <f>K318</f>
        <v>0.345824</v>
      </c>
      <c r="P318" s="19"/>
      <c r="Q318" s="99">
        <f>K318*L318</f>
        <v>82997.76000000001</v>
      </c>
      <c r="R318" s="100">
        <f>M318*N318</f>
        <v>0</v>
      </c>
      <c r="S318" s="100">
        <f>O318*P318</f>
        <v>0</v>
      </c>
      <c r="U318" s="62"/>
    </row>
    <row r="319" spans="1:21" ht="12.75">
      <c r="A319" s="18">
        <v>11</v>
      </c>
      <c r="B319" s="19" t="s">
        <v>126</v>
      </c>
      <c r="C319" s="18"/>
      <c r="D319" s="18">
        <v>6</v>
      </c>
      <c r="E319" s="18">
        <v>0.05</v>
      </c>
      <c r="F319" s="29">
        <v>0.6</v>
      </c>
      <c r="G319" s="86">
        <f>1+F319*(0.2)</f>
        <v>1.12</v>
      </c>
      <c r="H319" s="86">
        <v>1</v>
      </c>
      <c r="I319" s="86">
        <f>G319*H319</f>
        <v>1.12</v>
      </c>
      <c r="J319" s="95">
        <f>I319*113</f>
        <v>126.56000000000002</v>
      </c>
      <c r="K319" s="86">
        <v>0.345824</v>
      </c>
      <c r="L319" s="21">
        <v>222000</v>
      </c>
      <c r="M319" s="86">
        <v>0.493915</v>
      </c>
      <c r="N319" s="19"/>
      <c r="O319" s="94">
        <f>K319</f>
        <v>0.345824</v>
      </c>
      <c r="P319" s="19"/>
      <c r="Q319" s="99">
        <f>K319*L319</f>
        <v>76772.928</v>
      </c>
      <c r="R319" s="100">
        <f>M319*N319</f>
        <v>0</v>
      </c>
      <c r="S319" s="100">
        <f>O319*P319</f>
        <v>0</v>
      </c>
      <c r="U319" s="62"/>
    </row>
    <row r="320" spans="1:21" ht="12.75">
      <c r="A320" s="28">
        <v>12</v>
      </c>
      <c r="B320" s="68" t="s">
        <v>127</v>
      </c>
      <c r="C320" s="28">
        <v>1990</v>
      </c>
      <c r="D320" s="28">
        <v>6</v>
      </c>
      <c r="E320" s="28">
        <v>0.05</v>
      </c>
      <c r="F320" s="29">
        <v>0.6</v>
      </c>
      <c r="G320" s="86">
        <f>1+F320*(0.2)</f>
        <v>1.12</v>
      </c>
      <c r="H320" s="86">
        <v>1</v>
      </c>
      <c r="I320" s="86">
        <f>G320*H320</f>
        <v>1.12</v>
      </c>
      <c r="J320" s="95">
        <f>I320*113</f>
        <v>126.56000000000002</v>
      </c>
      <c r="K320" s="86">
        <v>0.345824</v>
      </c>
      <c r="L320" s="73">
        <v>242000</v>
      </c>
      <c r="M320" s="86">
        <v>0.493915</v>
      </c>
      <c r="N320" s="68"/>
      <c r="O320" s="94">
        <f>K320</f>
        <v>0.345824</v>
      </c>
      <c r="P320" s="68"/>
      <c r="Q320" s="99">
        <f>K320*L320</f>
        <v>83689.40800000001</v>
      </c>
      <c r="R320" s="100">
        <f>M320*N320</f>
        <v>0</v>
      </c>
      <c r="S320" s="100">
        <f>O320*P320</f>
        <v>0</v>
      </c>
      <c r="U320" s="62"/>
    </row>
    <row r="321" spans="1:21" ht="12.75">
      <c r="A321" s="42"/>
      <c r="B321" s="75" t="s">
        <v>134</v>
      </c>
      <c r="C321" s="42"/>
      <c r="D321" s="42"/>
      <c r="E321" s="42"/>
      <c r="F321" s="42"/>
      <c r="G321" s="42"/>
      <c r="H321" s="70"/>
      <c r="I321" s="42"/>
      <c r="J321" s="70"/>
      <c r="K321" s="42"/>
      <c r="L321" s="71"/>
      <c r="M321" s="42"/>
      <c r="N321" s="70"/>
      <c r="O321" s="70"/>
      <c r="P321" s="70"/>
      <c r="Q321" s="70"/>
      <c r="R321" s="70"/>
      <c r="S321" s="70"/>
      <c r="U321" s="62"/>
    </row>
    <row r="322" spans="1:21" ht="12.75">
      <c r="A322" s="29">
        <v>13</v>
      </c>
      <c r="B322" s="31" t="s">
        <v>135</v>
      </c>
      <c r="C322" s="29" t="s">
        <v>128</v>
      </c>
      <c r="D322" s="29">
        <v>10</v>
      </c>
      <c r="E322" s="29">
        <v>0.1</v>
      </c>
      <c r="F322" s="29">
        <v>0.6</v>
      </c>
      <c r="G322" s="86">
        <f>1+F322*(0.2)</f>
        <v>1.12</v>
      </c>
      <c r="H322" s="86">
        <v>1</v>
      </c>
      <c r="I322" s="86">
        <f>G322*H322</f>
        <v>1.12</v>
      </c>
      <c r="J322" s="95">
        <f>I322*113</f>
        <v>126.56000000000002</v>
      </c>
      <c r="K322" s="86">
        <v>0.345824</v>
      </c>
      <c r="L322" s="30">
        <v>18400000</v>
      </c>
      <c r="M322" s="86">
        <v>0.493915</v>
      </c>
      <c r="N322" s="30">
        <v>300000</v>
      </c>
      <c r="O322" s="94">
        <f>K322</f>
        <v>0.345824</v>
      </c>
      <c r="P322" s="30">
        <v>300000</v>
      </c>
      <c r="Q322" s="99">
        <f>K322*L322</f>
        <v>6363161.600000001</v>
      </c>
      <c r="R322" s="100">
        <f>M322*N322</f>
        <v>148174.5</v>
      </c>
      <c r="S322" s="100">
        <f>O322*P322</f>
        <v>103747.20000000001</v>
      </c>
      <c r="U322" s="62"/>
    </row>
    <row r="323" spans="1:21" ht="12.75">
      <c r="A323" s="18">
        <v>14</v>
      </c>
      <c r="B323" s="19" t="s">
        <v>129</v>
      </c>
      <c r="C323" s="18">
        <v>1988</v>
      </c>
      <c r="D323" s="18">
        <v>10</v>
      </c>
      <c r="E323" s="18">
        <v>0.1</v>
      </c>
      <c r="F323" s="29">
        <v>0.6</v>
      </c>
      <c r="G323" s="86">
        <f>1+F323*(0.2)</f>
        <v>1.12</v>
      </c>
      <c r="H323" s="86">
        <v>1</v>
      </c>
      <c r="I323" s="86">
        <f>G323*H323</f>
        <v>1.12</v>
      </c>
      <c r="J323" s="95">
        <f>I323*113</f>
        <v>126.56000000000002</v>
      </c>
      <c r="K323" s="86">
        <v>0.345824</v>
      </c>
      <c r="L323" s="21">
        <v>950000</v>
      </c>
      <c r="M323" s="86">
        <v>0.493915</v>
      </c>
      <c r="N323" s="19"/>
      <c r="O323" s="94">
        <f>K323</f>
        <v>0.345824</v>
      </c>
      <c r="P323" s="19"/>
      <c r="Q323" s="99">
        <f>K323*L323</f>
        <v>328532.80000000005</v>
      </c>
      <c r="R323" s="100">
        <f>M323*N323</f>
        <v>0</v>
      </c>
      <c r="S323" s="100">
        <f>O323*P323</f>
        <v>0</v>
      </c>
      <c r="U323" s="62"/>
    </row>
    <row r="324" spans="1:21" ht="12.75">
      <c r="A324" s="28"/>
      <c r="B324" s="68"/>
      <c r="C324" s="28"/>
      <c r="D324" s="28"/>
      <c r="E324" s="28"/>
      <c r="F324" s="28"/>
      <c r="G324" s="28"/>
      <c r="H324" s="68"/>
      <c r="I324" s="28"/>
      <c r="J324" s="68"/>
      <c r="K324" s="28"/>
      <c r="L324" s="73"/>
      <c r="M324" s="28"/>
      <c r="N324" s="68"/>
      <c r="O324" s="68"/>
      <c r="P324" s="68"/>
      <c r="Q324" s="68"/>
      <c r="R324" s="68"/>
      <c r="S324" s="19"/>
      <c r="U324" s="62"/>
    </row>
    <row r="325" spans="1:21" ht="12.75">
      <c r="A325" s="42"/>
      <c r="B325" s="174" t="s">
        <v>130</v>
      </c>
      <c r="C325" s="174"/>
      <c r="D325" s="174"/>
      <c r="E325" s="42"/>
      <c r="F325" s="42"/>
      <c r="G325" s="42"/>
      <c r="H325" s="70"/>
      <c r="I325" s="42"/>
      <c r="J325" s="70"/>
      <c r="K325" s="42"/>
      <c r="L325" s="71"/>
      <c r="M325" s="42"/>
      <c r="N325" s="70"/>
      <c r="O325" s="70"/>
      <c r="P325" s="70"/>
      <c r="Q325" s="70"/>
      <c r="R325" s="70"/>
      <c r="S325" s="70"/>
      <c r="U325" s="62"/>
    </row>
    <row r="326" spans="1:21" s="4" customFormat="1" ht="12">
      <c r="A326" s="29">
        <v>15</v>
      </c>
      <c r="B326" s="31" t="s">
        <v>131</v>
      </c>
      <c r="C326" s="29">
        <v>1990</v>
      </c>
      <c r="D326" s="29">
        <v>12</v>
      </c>
      <c r="E326" s="29">
        <v>0.15</v>
      </c>
      <c r="F326" s="29">
        <v>0.6</v>
      </c>
      <c r="G326" s="86">
        <f>1+F326*(0.2)</f>
        <v>1.12</v>
      </c>
      <c r="H326" s="86">
        <v>1</v>
      </c>
      <c r="I326" s="86">
        <f>G326*H326</f>
        <v>1.12</v>
      </c>
      <c r="J326" s="95">
        <f>I326*113</f>
        <v>126.56000000000002</v>
      </c>
      <c r="K326" s="86">
        <v>0.345824</v>
      </c>
      <c r="L326" s="30"/>
      <c r="M326" s="86">
        <v>0.493915</v>
      </c>
      <c r="N326" s="31"/>
      <c r="O326" s="94">
        <f>K326</f>
        <v>0.345824</v>
      </c>
      <c r="P326" s="31"/>
      <c r="Q326" s="99">
        <f>K326*L326</f>
        <v>0</v>
      </c>
      <c r="R326" s="100">
        <f>M326*N326</f>
        <v>0</v>
      </c>
      <c r="S326" s="100">
        <f>O326*P326</f>
        <v>0</v>
      </c>
      <c r="U326" s="62"/>
    </row>
    <row r="327" spans="1:21" s="4" customFormat="1" ht="12">
      <c r="A327" s="18">
        <v>16</v>
      </c>
      <c r="B327" s="19" t="s">
        <v>132</v>
      </c>
      <c r="C327" s="18"/>
      <c r="D327" s="18"/>
      <c r="E327" s="18"/>
      <c r="F327" s="18"/>
      <c r="G327" s="18"/>
      <c r="H327" s="19"/>
      <c r="I327" s="18"/>
      <c r="J327" s="19"/>
      <c r="K327" s="18"/>
      <c r="L327" s="21"/>
      <c r="M327" s="18"/>
      <c r="N327" s="19"/>
      <c r="O327" s="19"/>
      <c r="P327" s="19"/>
      <c r="Q327" s="19"/>
      <c r="R327" s="19"/>
      <c r="S327" s="19"/>
      <c r="U327" s="62"/>
    </row>
    <row r="328" spans="1:21" s="4" customFormat="1" ht="12.75" thickBot="1">
      <c r="A328" s="18">
        <v>17</v>
      </c>
      <c r="B328" s="19" t="s">
        <v>133</v>
      </c>
      <c r="C328" s="18">
        <v>1993</v>
      </c>
      <c r="D328" s="18">
        <v>6</v>
      </c>
      <c r="E328" s="18">
        <v>0.1</v>
      </c>
      <c r="F328" s="29">
        <v>0.6</v>
      </c>
      <c r="G328" s="86">
        <f>1+F328*(0.2)</f>
        <v>1.12</v>
      </c>
      <c r="H328" s="86">
        <v>1</v>
      </c>
      <c r="I328" s="86">
        <f>G328*H328</f>
        <v>1.12</v>
      </c>
      <c r="J328" s="95">
        <f>I328*113</f>
        <v>126.56000000000002</v>
      </c>
      <c r="K328" s="86">
        <v>0.345824</v>
      </c>
      <c r="L328" s="21"/>
      <c r="M328" s="86">
        <v>0.493915</v>
      </c>
      <c r="N328" s="19"/>
      <c r="O328" s="94">
        <f>K328</f>
        <v>0.345824</v>
      </c>
      <c r="P328" s="19"/>
      <c r="Q328" s="99">
        <f>K328*L328</f>
        <v>0</v>
      </c>
      <c r="R328" s="100">
        <f>M328*N328</f>
        <v>0</v>
      </c>
      <c r="S328" s="100">
        <f>O328*P328</f>
        <v>0</v>
      </c>
      <c r="U328" s="62"/>
    </row>
    <row r="329" spans="11:19" ht="13.5" thickBot="1">
      <c r="K329" s="112" t="s">
        <v>218</v>
      </c>
      <c r="L329" s="113">
        <f>SUM(L307:L328)</f>
        <v>47852610</v>
      </c>
      <c r="M329" s="24"/>
      <c r="N329" s="113">
        <f>SUM(N307:N328)</f>
        <v>600000</v>
      </c>
      <c r="P329" s="113">
        <f>SUM(P307:P328)</f>
        <v>500000</v>
      </c>
      <c r="Q329" s="113">
        <f>SUM(Q307:Q328)</f>
        <v>16548581.000639997</v>
      </c>
      <c r="R329" s="113">
        <f>SUM(R307:R328)</f>
        <v>296349</v>
      </c>
      <c r="S329" s="113">
        <f>SUM(S307:S328)</f>
        <v>172912</v>
      </c>
    </row>
    <row r="330" spans="11:14" ht="12.75">
      <c r="K330" s="24"/>
      <c r="L330" s="4"/>
      <c r="M330" s="24"/>
      <c r="N330" s="4"/>
    </row>
    <row r="331" spans="1:14" ht="12.75">
      <c r="A331" s="17" t="s">
        <v>12</v>
      </c>
      <c r="K331" s="24"/>
      <c r="L331" s="4"/>
      <c r="M331" s="24"/>
      <c r="N331" s="4"/>
    </row>
    <row r="332" spans="1:52" s="26" customFormat="1" ht="12.75">
      <c r="A332" s="18">
        <v>1</v>
      </c>
      <c r="B332" s="18">
        <v>2</v>
      </c>
      <c r="C332" s="18">
        <v>3</v>
      </c>
      <c r="D332" s="18">
        <v>4</v>
      </c>
      <c r="E332" s="18">
        <v>5</v>
      </c>
      <c r="F332" s="18">
        <v>5</v>
      </c>
      <c r="G332" s="18">
        <v>6</v>
      </c>
      <c r="H332" s="18">
        <v>7</v>
      </c>
      <c r="I332" s="18">
        <v>8</v>
      </c>
      <c r="J332" s="18">
        <v>9</v>
      </c>
      <c r="K332" s="24"/>
      <c r="L332" s="24"/>
      <c r="M332" s="24"/>
      <c r="N332" s="24"/>
      <c r="O332" s="24"/>
      <c r="P332" s="24"/>
      <c r="Q332" s="24"/>
      <c r="R332" s="24"/>
      <c r="S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14" ht="12.75">
      <c r="A333" s="1" t="s">
        <v>0</v>
      </c>
      <c r="B333" s="2" t="s">
        <v>1</v>
      </c>
      <c r="C333" s="1" t="s">
        <v>2</v>
      </c>
      <c r="D333" s="1" t="s">
        <v>3</v>
      </c>
      <c r="E333" s="3" t="s">
        <v>4</v>
      </c>
      <c r="F333" s="2" t="s">
        <v>219</v>
      </c>
      <c r="G333" s="2" t="s">
        <v>220</v>
      </c>
      <c r="H333" s="36" t="s">
        <v>221</v>
      </c>
      <c r="I333" s="34" t="s">
        <v>221</v>
      </c>
      <c r="J333" s="34" t="s">
        <v>220</v>
      </c>
      <c r="K333" s="24"/>
      <c r="L333" s="4"/>
      <c r="M333" s="24"/>
      <c r="N333" s="4"/>
    </row>
    <row r="334" spans="1:14" ht="12.75">
      <c r="A334" s="5"/>
      <c r="B334" s="6" t="s">
        <v>5</v>
      </c>
      <c r="C334" s="6" t="s">
        <v>6</v>
      </c>
      <c r="D334" s="7" t="s">
        <v>7</v>
      </c>
      <c r="E334" s="8" t="s">
        <v>7</v>
      </c>
      <c r="F334" s="6" t="s">
        <v>222</v>
      </c>
      <c r="G334" s="6" t="s">
        <v>223</v>
      </c>
      <c r="H334" s="37" t="s">
        <v>224</v>
      </c>
      <c r="I334" s="120" t="s">
        <v>225</v>
      </c>
      <c r="J334" s="120" t="s">
        <v>200</v>
      </c>
      <c r="K334" s="24"/>
      <c r="L334" s="4"/>
      <c r="M334" s="24"/>
      <c r="N334" s="4"/>
    </row>
    <row r="335" spans="1:14" ht="12.75">
      <c r="A335" s="9"/>
      <c r="B335" s="9"/>
      <c r="C335" s="10" t="s">
        <v>8</v>
      </c>
      <c r="D335" s="10" t="s">
        <v>9</v>
      </c>
      <c r="E335" s="11"/>
      <c r="F335" s="10"/>
      <c r="G335" s="10"/>
      <c r="H335" s="38"/>
      <c r="I335" s="56"/>
      <c r="J335" s="56"/>
      <c r="K335" s="24"/>
      <c r="L335" s="4"/>
      <c r="M335" s="24"/>
      <c r="N335" s="4"/>
    </row>
    <row r="336" spans="1:14" ht="12.75">
      <c r="A336" s="12" t="s">
        <v>10</v>
      </c>
      <c r="B336" s="13">
        <v>9200</v>
      </c>
      <c r="C336" s="14">
        <f>+(63698+2800*46)*10.76</f>
        <v>2071278.48</v>
      </c>
      <c r="D336" s="15">
        <f>340/9</f>
        <v>37.77777777777778</v>
      </c>
      <c r="E336" s="16">
        <f>+D336*C336</f>
        <v>78248298.13333334</v>
      </c>
      <c r="F336" s="28" t="s">
        <v>226</v>
      </c>
      <c r="G336" s="28" t="s">
        <v>227</v>
      </c>
      <c r="H336" s="28" t="s">
        <v>228</v>
      </c>
      <c r="I336" s="28">
        <v>0.01</v>
      </c>
      <c r="J336" s="121">
        <f>I336*E336</f>
        <v>782482.9813333334</v>
      </c>
      <c r="K336" s="24"/>
      <c r="L336" s="4"/>
      <c r="M336" s="24"/>
      <c r="N336" s="4"/>
    </row>
    <row r="337" spans="1:14" ht="12.75">
      <c r="A337" s="12"/>
      <c r="B337" s="12"/>
      <c r="C337" s="12"/>
      <c r="D337" s="15"/>
      <c r="E337" s="16"/>
      <c r="F337" s="19"/>
      <c r="G337" s="19"/>
      <c r="H337" s="19"/>
      <c r="I337" s="19"/>
      <c r="J337" s="19"/>
      <c r="K337" s="24"/>
      <c r="L337" s="4"/>
      <c r="M337" s="24"/>
      <c r="N337" s="4"/>
    </row>
    <row r="338" spans="1:14" ht="13.5" thickBot="1">
      <c r="A338" s="12" t="s">
        <v>11</v>
      </c>
      <c r="B338" s="13">
        <v>5900</v>
      </c>
      <c r="C338" s="14">
        <f>972837+30000+4401+2637</f>
        <v>1009875</v>
      </c>
      <c r="D338" s="15">
        <f>340/9</f>
        <v>37.77777777777778</v>
      </c>
      <c r="E338" s="16">
        <f>+D338*C338</f>
        <v>38150833.333333336</v>
      </c>
      <c r="F338" s="18" t="s">
        <v>226</v>
      </c>
      <c r="G338" s="18" t="s">
        <v>227</v>
      </c>
      <c r="H338" s="18" t="s">
        <v>228</v>
      </c>
      <c r="I338" s="18">
        <v>0.01</v>
      </c>
      <c r="J338" s="121">
        <f>I338*E338</f>
        <v>381508.3333333334</v>
      </c>
      <c r="K338" s="24"/>
      <c r="L338" s="4"/>
      <c r="M338" s="24"/>
      <c r="N338" s="4"/>
    </row>
    <row r="339" spans="4:14" ht="13.5" thickBot="1">
      <c r="D339" s="112" t="s">
        <v>218</v>
      </c>
      <c r="E339" s="122">
        <f>E336+E338</f>
        <v>116399131.46666667</v>
      </c>
      <c r="J339" s="122">
        <f>SUM(J336:J338)</f>
        <v>1163991.3146666668</v>
      </c>
      <c r="K339" s="24"/>
      <c r="L339" s="4"/>
      <c r="M339" s="24"/>
      <c r="N339" s="4"/>
    </row>
    <row r="340" spans="11:14" ht="12.75">
      <c r="K340" s="24"/>
      <c r="L340" s="4"/>
      <c r="M340" s="24"/>
      <c r="N340" s="4"/>
    </row>
    <row r="341" spans="1:14" ht="12.75">
      <c r="A341" s="17" t="s">
        <v>152</v>
      </c>
      <c r="K341" s="24"/>
      <c r="L341" s="4"/>
      <c r="M341" s="24"/>
      <c r="N341" s="4"/>
    </row>
    <row r="342" spans="1:21" s="24" customFormat="1" ht="12">
      <c r="A342" s="18">
        <v>1</v>
      </c>
      <c r="B342" s="18">
        <v>2</v>
      </c>
      <c r="C342" s="18">
        <v>3</v>
      </c>
      <c r="D342" s="18">
        <v>4</v>
      </c>
      <c r="E342" s="18">
        <v>5</v>
      </c>
      <c r="F342" s="85" t="s">
        <v>204</v>
      </c>
      <c r="G342" s="85" t="s">
        <v>205</v>
      </c>
      <c r="H342" s="41" t="s">
        <v>206</v>
      </c>
      <c r="I342" s="18" t="s">
        <v>207</v>
      </c>
      <c r="J342" s="18">
        <v>6</v>
      </c>
      <c r="K342" s="18">
        <v>25</v>
      </c>
      <c r="L342" s="18">
        <v>26</v>
      </c>
      <c r="M342" s="18">
        <v>28</v>
      </c>
      <c r="N342" s="18">
        <v>29</v>
      </c>
      <c r="O342" s="18">
        <v>30</v>
      </c>
      <c r="P342" s="18">
        <v>31</v>
      </c>
      <c r="Q342" s="18">
        <v>32</v>
      </c>
      <c r="R342" s="18">
        <v>33</v>
      </c>
      <c r="S342" s="18">
        <v>34</v>
      </c>
      <c r="U342" s="62"/>
    </row>
    <row r="343" spans="1:21" ht="12">
      <c r="A343" s="2" t="s">
        <v>190</v>
      </c>
      <c r="B343" s="36" t="s">
        <v>13</v>
      </c>
      <c r="C343" s="33" t="s">
        <v>14</v>
      </c>
      <c r="D343" s="36" t="s">
        <v>176</v>
      </c>
      <c r="E343" s="33" t="s">
        <v>15</v>
      </c>
      <c r="F343" s="36" t="s">
        <v>208</v>
      </c>
      <c r="G343" s="36"/>
      <c r="H343" s="32"/>
      <c r="I343" s="37"/>
      <c r="J343" s="36" t="s">
        <v>191</v>
      </c>
      <c r="K343" s="36" t="s">
        <v>192</v>
      </c>
      <c r="L343" s="36" t="s">
        <v>16</v>
      </c>
      <c r="M343" s="36" t="s">
        <v>193</v>
      </c>
      <c r="N343" s="33" t="s">
        <v>17</v>
      </c>
      <c r="O343" s="36" t="s">
        <v>194</v>
      </c>
      <c r="P343" s="36" t="s">
        <v>195</v>
      </c>
      <c r="Q343" s="33" t="s">
        <v>196</v>
      </c>
      <c r="R343" s="36" t="s">
        <v>193</v>
      </c>
      <c r="S343" s="36" t="s">
        <v>197</v>
      </c>
      <c r="U343" s="32"/>
    </row>
    <row r="344" spans="1:21" ht="12">
      <c r="A344" s="61"/>
      <c r="B344" s="37"/>
      <c r="C344" s="32" t="s">
        <v>18</v>
      </c>
      <c r="D344" s="37" t="s">
        <v>198</v>
      </c>
      <c r="E344" s="32" t="s">
        <v>19</v>
      </c>
      <c r="F344" s="37"/>
      <c r="G344" s="37"/>
      <c r="H344" s="32"/>
      <c r="I344" s="37"/>
      <c r="J344" s="37" t="s">
        <v>199</v>
      </c>
      <c r="K344" s="37" t="s">
        <v>200</v>
      </c>
      <c r="L344" s="37" t="s">
        <v>20</v>
      </c>
      <c r="M344" s="37" t="s">
        <v>200</v>
      </c>
      <c r="N344" s="32" t="s">
        <v>20</v>
      </c>
      <c r="O344" s="37" t="s">
        <v>200</v>
      </c>
      <c r="P344" s="37" t="s">
        <v>20</v>
      </c>
      <c r="Q344" s="32" t="s">
        <v>200</v>
      </c>
      <c r="R344" s="37" t="s">
        <v>200</v>
      </c>
      <c r="S344" s="37" t="s">
        <v>200</v>
      </c>
      <c r="U344" s="32"/>
    </row>
    <row r="345" spans="1:21" ht="12.75">
      <c r="A345" s="63"/>
      <c r="B345" s="29"/>
      <c r="C345" s="64"/>
      <c r="D345" s="29"/>
      <c r="E345" s="64"/>
      <c r="F345" s="29"/>
      <c r="G345" s="64"/>
      <c r="H345" s="10"/>
      <c r="I345" s="29"/>
      <c r="J345" s="38" t="s">
        <v>201</v>
      </c>
      <c r="K345" s="38" t="s">
        <v>202</v>
      </c>
      <c r="L345" s="29"/>
      <c r="M345" s="38" t="s">
        <v>202</v>
      </c>
      <c r="N345" s="64"/>
      <c r="O345" s="38" t="s">
        <v>202</v>
      </c>
      <c r="P345" s="29"/>
      <c r="Q345" s="64" t="s">
        <v>203</v>
      </c>
      <c r="R345" s="38" t="s">
        <v>203</v>
      </c>
      <c r="S345" s="29" t="s">
        <v>203</v>
      </c>
      <c r="U345" s="62"/>
    </row>
    <row r="346" spans="1:21" ht="15.75">
      <c r="A346" s="76" t="s">
        <v>136</v>
      </c>
      <c r="B346" s="77"/>
      <c r="C346" s="78"/>
      <c r="D346" s="78"/>
      <c r="E346" s="78"/>
      <c r="F346" s="78"/>
      <c r="G346" s="78"/>
      <c r="H346" s="78"/>
      <c r="I346" s="78"/>
      <c r="J346" s="78"/>
      <c r="K346" s="42"/>
      <c r="L346" s="78"/>
      <c r="M346" s="42"/>
      <c r="N346" s="70"/>
      <c r="O346" s="70"/>
      <c r="P346" s="70"/>
      <c r="Q346" s="70"/>
      <c r="R346" s="70"/>
      <c r="U346" s="84"/>
    </row>
    <row r="347" spans="1:21" ht="12.75">
      <c r="A347" s="31"/>
      <c r="B347" s="29" t="s">
        <v>137</v>
      </c>
      <c r="C347" s="29">
        <v>1898</v>
      </c>
      <c r="D347" s="29">
        <v>100</v>
      </c>
      <c r="E347" s="29">
        <f>0.2*0.62</f>
        <v>0.124</v>
      </c>
      <c r="F347" s="29">
        <v>0.6</v>
      </c>
      <c r="G347" s="86">
        <f aca="true" t="shared" si="77" ref="G347:G362">1+F347*(0.2)</f>
        <v>1.12</v>
      </c>
      <c r="H347" s="86">
        <v>1</v>
      </c>
      <c r="I347" s="86">
        <f aca="true" t="shared" si="78" ref="I347:I362">G347*H347</f>
        <v>1.12</v>
      </c>
      <c r="J347" s="95">
        <f aca="true" t="shared" si="79" ref="J347:J362">I347*113</f>
        <v>126.56000000000002</v>
      </c>
      <c r="K347" s="86">
        <v>0.672517</v>
      </c>
      <c r="L347" s="53">
        <v>3021200</v>
      </c>
      <c r="M347" s="86">
        <v>0.816674</v>
      </c>
      <c r="N347" s="31"/>
      <c r="O347" s="94">
        <f aca="true" t="shared" si="80" ref="O347:O362">K347</f>
        <v>0.672517</v>
      </c>
      <c r="P347" s="31"/>
      <c r="Q347" s="99">
        <f aca="true" t="shared" si="81" ref="Q347:Q362">K347*L347</f>
        <v>2031808.3604000001</v>
      </c>
      <c r="R347" s="100">
        <f aca="true" t="shared" si="82" ref="R347:R362">M347*N347</f>
        <v>0</v>
      </c>
      <c r="S347" s="100">
        <f aca="true" t="shared" si="83" ref="S347:S362">O347*P347</f>
        <v>0</v>
      </c>
      <c r="U347" s="62"/>
    </row>
    <row r="348" spans="1:21" ht="12.75">
      <c r="A348" s="19"/>
      <c r="B348" s="18" t="s">
        <v>138</v>
      </c>
      <c r="C348" s="18">
        <v>1992</v>
      </c>
      <c r="D348" s="18">
        <v>100</v>
      </c>
      <c r="E348" s="18">
        <v>0.124</v>
      </c>
      <c r="F348" s="29">
        <v>0.6</v>
      </c>
      <c r="G348" s="86">
        <f t="shared" si="77"/>
        <v>1.12</v>
      </c>
      <c r="H348" s="86">
        <v>1</v>
      </c>
      <c r="I348" s="86">
        <f t="shared" si="78"/>
        <v>1.12</v>
      </c>
      <c r="J348" s="95">
        <f t="shared" si="79"/>
        <v>126.56000000000002</v>
      </c>
      <c r="K348" s="94">
        <v>0.672517</v>
      </c>
      <c r="L348" s="39">
        <v>8500000</v>
      </c>
      <c r="M348" s="94">
        <v>0.816674</v>
      </c>
      <c r="N348" s="19"/>
      <c r="O348" s="94">
        <f t="shared" si="80"/>
        <v>0.672517</v>
      </c>
      <c r="P348" s="19"/>
      <c r="Q348" s="99">
        <f t="shared" si="81"/>
        <v>5716394.5</v>
      </c>
      <c r="R348" s="100">
        <f t="shared" si="82"/>
        <v>0</v>
      </c>
      <c r="S348" s="100">
        <f t="shared" si="83"/>
        <v>0</v>
      </c>
      <c r="U348" s="62"/>
    </row>
    <row r="349" spans="1:21" ht="12.75">
      <c r="A349" s="19"/>
      <c r="B349" s="18" t="s">
        <v>139</v>
      </c>
      <c r="C349" s="18">
        <v>1898</v>
      </c>
      <c r="D349" s="18">
        <v>100</v>
      </c>
      <c r="E349" s="18">
        <v>0.124</v>
      </c>
      <c r="F349" s="29">
        <v>0.6</v>
      </c>
      <c r="G349" s="86">
        <f t="shared" si="77"/>
        <v>1.12</v>
      </c>
      <c r="H349" s="86">
        <v>1</v>
      </c>
      <c r="I349" s="86">
        <f t="shared" si="78"/>
        <v>1.12</v>
      </c>
      <c r="J349" s="95">
        <f t="shared" si="79"/>
        <v>126.56000000000002</v>
      </c>
      <c r="K349" s="94">
        <v>0.672517</v>
      </c>
      <c r="L349" s="39">
        <v>1080000</v>
      </c>
      <c r="M349" s="94">
        <v>0.816674</v>
      </c>
      <c r="N349" s="19"/>
      <c r="O349" s="94">
        <f t="shared" si="80"/>
        <v>0.672517</v>
      </c>
      <c r="P349" s="19"/>
      <c r="Q349" s="99">
        <f t="shared" si="81"/>
        <v>726318.36</v>
      </c>
      <c r="R349" s="100">
        <f t="shared" si="82"/>
        <v>0</v>
      </c>
      <c r="S349" s="100">
        <f t="shared" si="83"/>
        <v>0</v>
      </c>
      <c r="U349" s="62"/>
    </row>
    <row r="350" spans="1:21" ht="12.75">
      <c r="A350" s="19"/>
      <c r="B350" s="18" t="s">
        <v>140</v>
      </c>
      <c r="C350" s="18">
        <v>1963</v>
      </c>
      <c r="D350" s="18">
        <v>100</v>
      </c>
      <c r="E350" s="18">
        <v>0.124</v>
      </c>
      <c r="F350" s="29">
        <v>0.6</v>
      </c>
      <c r="G350" s="86">
        <f t="shared" si="77"/>
        <v>1.12</v>
      </c>
      <c r="H350" s="86">
        <v>1</v>
      </c>
      <c r="I350" s="86">
        <f t="shared" si="78"/>
        <v>1.12</v>
      </c>
      <c r="J350" s="95">
        <f t="shared" si="79"/>
        <v>126.56000000000002</v>
      </c>
      <c r="K350" s="94">
        <v>0.672517</v>
      </c>
      <c r="L350" s="39">
        <v>1732000</v>
      </c>
      <c r="M350" s="94">
        <v>0.816674</v>
      </c>
      <c r="N350" s="19"/>
      <c r="O350" s="94">
        <f t="shared" si="80"/>
        <v>0.672517</v>
      </c>
      <c r="P350" s="19"/>
      <c r="Q350" s="99">
        <f t="shared" si="81"/>
        <v>1164799.4440000001</v>
      </c>
      <c r="R350" s="100">
        <f t="shared" si="82"/>
        <v>0</v>
      </c>
      <c r="S350" s="100">
        <f t="shared" si="83"/>
        <v>0</v>
      </c>
      <c r="U350" s="62"/>
    </row>
    <row r="351" spans="1:21" ht="12.75">
      <c r="A351" s="19"/>
      <c r="B351" s="18" t="s">
        <v>141</v>
      </c>
      <c r="C351" s="18">
        <v>1970</v>
      </c>
      <c r="D351" s="18">
        <v>100</v>
      </c>
      <c r="E351" s="18">
        <v>0.124</v>
      </c>
      <c r="F351" s="29">
        <v>0.6</v>
      </c>
      <c r="G351" s="86">
        <f t="shared" si="77"/>
        <v>1.12</v>
      </c>
      <c r="H351" s="86">
        <v>1</v>
      </c>
      <c r="I351" s="86">
        <f t="shared" si="78"/>
        <v>1.12</v>
      </c>
      <c r="J351" s="95">
        <f t="shared" si="79"/>
        <v>126.56000000000002</v>
      </c>
      <c r="K351" s="94">
        <v>0.672517</v>
      </c>
      <c r="L351" s="39">
        <v>1460000</v>
      </c>
      <c r="M351" s="94">
        <v>0.816674</v>
      </c>
      <c r="N351" s="19"/>
      <c r="O351" s="94">
        <f t="shared" si="80"/>
        <v>0.672517</v>
      </c>
      <c r="P351" s="19"/>
      <c r="Q351" s="99">
        <f t="shared" si="81"/>
        <v>981874.8200000001</v>
      </c>
      <c r="R351" s="100">
        <f t="shared" si="82"/>
        <v>0</v>
      </c>
      <c r="S351" s="100">
        <f t="shared" si="83"/>
        <v>0</v>
      </c>
      <c r="U351" s="62"/>
    </row>
    <row r="352" spans="1:21" ht="12.75">
      <c r="A352" s="19"/>
      <c r="B352" s="18" t="s">
        <v>142</v>
      </c>
      <c r="C352" s="18">
        <v>1966</v>
      </c>
      <c r="D352" s="18">
        <v>100</v>
      </c>
      <c r="E352" s="18">
        <v>0.1</v>
      </c>
      <c r="F352" s="29">
        <v>0.6</v>
      </c>
      <c r="G352" s="86">
        <f t="shared" si="77"/>
        <v>1.12</v>
      </c>
      <c r="H352" s="86">
        <v>1</v>
      </c>
      <c r="I352" s="86">
        <f t="shared" si="78"/>
        <v>1.12</v>
      </c>
      <c r="J352" s="95">
        <f t="shared" si="79"/>
        <v>126.56000000000002</v>
      </c>
      <c r="K352" s="94">
        <v>0.672517</v>
      </c>
      <c r="L352" s="39">
        <v>2931880</v>
      </c>
      <c r="M352" s="94">
        <v>0.816674</v>
      </c>
      <c r="N352" s="19"/>
      <c r="O352" s="94">
        <f t="shared" si="80"/>
        <v>0.672517</v>
      </c>
      <c r="P352" s="19"/>
      <c r="Q352" s="99">
        <f t="shared" si="81"/>
        <v>1971739.1419600002</v>
      </c>
      <c r="R352" s="100">
        <f t="shared" si="82"/>
        <v>0</v>
      </c>
      <c r="S352" s="100">
        <f t="shared" si="83"/>
        <v>0</v>
      </c>
      <c r="U352" s="62"/>
    </row>
    <row r="353" spans="1:21" ht="12.75">
      <c r="A353" s="19"/>
      <c r="B353" s="18" t="s">
        <v>143</v>
      </c>
      <c r="C353" s="18">
        <v>1963</v>
      </c>
      <c r="D353" s="18">
        <v>100</v>
      </c>
      <c r="E353" s="18">
        <v>0.1</v>
      </c>
      <c r="F353" s="29">
        <v>0.6</v>
      </c>
      <c r="G353" s="86">
        <f t="shared" si="77"/>
        <v>1.12</v>
      </c>
      <c r="H353" s="86">
        <v>1</v>
      </c>
      <c r="I353" s="86">
        <f t="shared" si="78"/>
        <v>1.12</v>
      </c>
      <c r="J353" s="95">
        <f t="shared" si="79"/>
        <v>126.56000000000002</v>
      </c>
      <c r="K353" s="94">
        <v>0.672517</v>
      </c>
      <c r="L353" s="39">
        <v>1908720</v>
      </c>
      <c r="M353" s="94">
        <v>0.816674</v>
      </c>
      <c r="N353" s="19"/>
      <c r="O353" s="94">
        <f t="shared" si="80"/>
        <v>0.672517</v>
      </c>
      <c r="P353" s="19"/>
      <c r="Q353" s="99">
        <f t="shared" si="81"/>
        <v>1283646.64824</v>
      </c>
      <c r="R353" s="100">
        <f t="shared" si="82"/>
        <v>0</v>
      </c>
      <c r="S353" s="100">
        <f t="shared" si="83"/>
        <v>0</v>
      </c>
      <c r="U353" s="62"/>
    </row>
    <row r="354" spans="1:21" ht="12.75">
      <c r="A354" s="19"/>
      <c r="B354" s="18" t="s">
        <v>144</v>
      </c>
      <c r="C354" s="18">
        <v>1976</v>
      </c>
      <c r="D354" s="18">
        <v>100</v>
      </c>
      <c r="E354" s="18">
        <v>0.15</v>
      </c>
      <c r="F354" s="29">
        <v>0.6</v>
      </c>
      <c r="G354" s="86">
        <f t="shared" si="77"/>
        <v>1.12</v>
      </c>
      <c r="H354" s="86">
        <v>1</v>
      </c>
      <c r="I354" s="86">
        <f t="shared" si="78"/>
        <v>1.12</v>
      </c>
      <c r="J354" s="95">
        <f t="shared" si="79"/>
        <v>126.56000000000002</v>
      </c>
      <c r="K354" s="94">
        <v>0.672517</v>
      </c>
      <c r="L354" s="39">
        <v>1100000</v>
      </c>
      <c r="M354" s="94">
        <v>0.816674</v>
      </c>
      <c r="N354" s="19"/>
      <c r="O354" s="94">
        <f t="shared" si="80"/>
        <v>0.672517</v>
      </c>
      <c r="P354" s="19"/>
      <c r="Q354" s="99">
        <f t="shared" si="81"/>
        <v>739768.7000000001</v>
      </c>
      <c r="R354" s="100">
        <f t="shared" si="82"/>
        <v>0</v>
      </c>
      <c r="S354" s="100">
        <f t="shared" si="83"/>
        <v>0</v>
      </c>
      <c r="U354" s="62"/>
    </row>
    <row r="355" spans="1:21" ht="12.75">
      <c r="A355" s="19"/>
      <c r="B355" s="18" t="s">
        <v>145</v>
      </c>
      <c r="C355" s="18">
        <v>1898</v>
      </c>
      <c r="D355" s="18">
        <v>100</v>
      </c>
      <c r="E355" s="18">
        <v>0.15</v>
      </c>
      <c r="F355" s="29">
        <v>0.6</v>
      </c>
      <c r="G355" s="86">
        <f t="shared" si="77"/>
        <v>1.12</v>
      </c>
      <c r="H355" s="86">
        <v>1</v>
      </c>
      <c r="I355" s="86">
        <f t="shared" si="78"/>
        <v>1.12</v>
      </c>
      <c r="J355" s="95">
        <f t="shared" si="79"/>
        <v>126.56000000000002</v>
      </c>
      <c r="K355" s="94">
        <v>0.672517</v>
      </c>
      <c r="L355" s="39">
        <v>90000</v>
      </c>
      <c r="M355" s="94">
        <v>0.816674</v>
      </c>
      <c r="N355" s="19"/>
      <c r="O355" s="94">
        <f t="shared" si="80"/>
        <v>0.672517</v>
      </c>
      <c r="P355" s="19"/>
      <c r="Q355" s="99">
        <f t="shared" si="81"/>
        <v>60526.530000000006</v>
      </c>
      <c r="R355" s="100">
        <f t="shared" si="82"/>
        <v>0</v>
      </c>
      <c r="S355" s="100">
        <f t="shared" si="83"/>
        <v>0</v>
      </c>
      <c r="U355" s="62"/>
    </row>
    <row r="356" spans="1:21" ht="12.75">
      <c r="A356" s="19"/>
      <c r="B356" s="18" t="s">
        <v>146</v>
      </c>
      <c r="C356" s="18">
        <v>1943</v>
      </c>
      <c r="D356" s="18">
        <v>100</v>
      </c>
      <c r="E356" s="18">
        <v>0.125</v>
      </c>
      <c r="F356" s="29">
        <v>0.6</v>
      </c>
      <c r="G356" s="86">
        <f t="shared" si="77"/>
        <v>1.12</v>
      </c>
      <c r="H356" s="86">
        <v>1</v>
      </c>
      <c r="I356" s="86">
        <f t="shared" si="78"/>
        <v>1.12</v>
      </c>
      <c r="J356" s="95">
        <f t="shared" si="79"/>
        <v>126.56000000000002</v>
      </c>
      <c r="K356" s="94">
        <v>0.672517</v>
      </c>
      <c r="L356" s="39">
        <v>384000</v>
      </c>
      <c r="M356" s="94">
        <v>0.816674</v>
      </c>
      <c r="N356" s="19"/>
      <c r="O356" s="94">
        <f t="shared" si="80"/>
        <v>0.672517</v>
      </c>
      <c r="P356" s="19"/>
      <c r="Q356" s="99">
        <f t="shared" si="81"/>
        <v>258246.52800000002</v>
      </c>
      <c r="R356" s="100">
        <f t="shared" si="82"/>
        <v>0</v>
      </c>
      <c r="S356" s="100">
        <f t="shared" si="83"/>
        <v>0</v>
      </c>
      <c r="U356" s="62"/>
    </row>
    <row r="357" spans="1:21" ht="12.75">
      <c r="A357" s="19"/>
      <c r="B357" s="18" t="s">
        <v>147</v>
      </c>
      <c r="C357" s="18">
        <v>1953</v>
      </c>
      <c r="D357" s="18">
        <v>100</v>
      </c>
      <c r="E357" s="18">
        <v>0.125</v>
      </c>
      <c r="F357" s="29">
        <v>0.6</v>
      </c>
      <c r="G357" s="86">
        <f t="shared" si="77"/>
        <v>1.12</v>
      </c>
      <c r="H357" s="86">
        <v>1</v>
      </c>
      <c r="I357" s="86">
        <f t="shared" si="78"/>
        <v>1.12</v>
      </c>
      <c r="J357" s="95">
        <f t="shared" si="79"/>
        <v>126.56000000000002</v>
      </c>
      <c r="K357" s="94">
        <v>0.672517</v>
      </c>
      <c r="L357" s="39">
        <v>97500</v>
      </c>
      <c r="M357" s="94">
        <v>0.816674</v>
      </c>
      <c r="N357" s="19"/>
      <c r="O357" s="94">
        <f t="shared" si="80"/>
        <v>0.672517</v>
      </c>
      <c r="P357" s="19"/>
      <c r="Q357" s="99">
        <f t="shared" si="81"/>
        <v>65570.4075</v>
      </c>
      <c r="R357" s="100">
        <f t="shared" si="82"/>
        <v>0</v>
      </c>
      <c r="S357" s="100">
        <f t="shared" si="83"/>
        <v>0</v>
      </c>
      <c r="U357" s="62"/>
    </row>
    <row r="358" spans="1:21" ht="12.75">
      <c r="A358" s="19"/>
      <c r="B358" s="18" t="s">
        <v>148</v>
      </c>
      <c r="C358" s="18">
        <v>1977</v>
      </c>
      <c r="D358" s="18">
        <v>100</v>
      </c>
      <c r="E358" s="18">
        <v>0.125</v>
      </c>
      <c r="F358" s="29">
        <v>0.6</v>
      </c>
      <c r="G358" s="86">
        <f t="shared" si="77"/>
        <v>1.12</v>
      </c>
      <c r="H358" s="86">
        <v>1</v>
      </c>
      <c r="I358" s="86">
        <f t="shared" si="78"/>
        <v>1.12</v>
      </c>
      <c r="J358" s="95">
        <f t="shared" si="79"/>
        <v>126.56000000000002</v>
      </c>
      <c r="K358" s="94">
        <v>0.672517</v>
      </c>
      <c r="L358" s="39">
        <v>37200</v>
      </c>
      <c r="M358" s="94">
        <v>0.816674</v>
      </c>
      <c r="N358" s="19"/>
      <c r="O358" s="94">
        <f t="shared" si="80"/>
        <v>0.672517</v>
      </c>
      <c r="P358" s="19"/>
      <c r="Q358" s="99">
        <f t="shared" si="81"/>
        <v>25017.632400000002</v>
      </c>
      <c r="R358" s="100">
        <f t="shared" si="82"/>
        <v>0</v>
      </c>
      <c r="S358" s="100">
        <f t="shared" si="83"/>
        <v>0</v>
      </c>
      <c r="U358" s="62"/>
    </row>
    <row r="359" spans="1:21" ht="12.75">
      <c r="A359" s="19"/>
      <c r="B359" s="18" t="s">
        <v>149</v>
      </c>
      <c r="C359" s="18">
        <v>1991</v>
      </c>
      <c r="D359" s="18">
        <v>100</v>
      </c>
      <c r="E359" s="18">
        <v>0.125</v>
      </c>
      <c r="F359" s="29">
        <v>0.6</v>
      </c>
      <c r="G359" s="86">
        <f t="shared" si="77"/>
        <v>1.12</v>
      </c>
      <c r="H359" s="86">
        <v>1</v>
      </c>
      <c r="I359" s="86">
        <f t="shared" si="78"/>
        <v>1.12</v>
      </c>
      <c r="J359" s="95">
        <f t="shared" si="79"/>
        <v>126.56000000000002</v>
      </c>
      <c r="K359" s="94">
        <v>0.672517</v>
      </c>
      <c r="L359" s="39">
        <v>35040</v>
      </c>
      <c r="M359" s="94">
        <v>0.816674</v>
      </c>
      <c r="N359" s="19"/>
      <c r="O359" s="94">
        <f t="shared" si="80"/>
        <v>0.672517</v>
      </c>
      <c r="P359" s="19"/>
      <c r="Q359" s="99">
        <f t="shared" si="81"/>
        <v>23564.99568</v>
      </c>
      <c r="R359" s="100">
        <f t="shared" si="82"/>
        <v>0</v>
      </c>
      <c r="S359" s="100">
        <f t="shared" si="83"/>
        <v>0</v>
      </c>
      <c r="U359" s="62"/>
    </row>
    <row r="360" spans="1:21" ht="12.75">
      <c r="A360" s="19"/>
      <c r="B360" s="18" t="s">
        <v>150</v>
      </c>
      <c r="C360" s="18">
        <v>1993</v>
      </c>
      <c r="D360" s="18">
        <v>100</v>
      </c>
      <c r="E360" s="18">
        <v>0.125</v>
      </c>
      <c r="F360" s="29">
        <v>0.6</v>
      </c>
      <c r="G360" s="86">
        <f t="shared" si="77"/>
        <v>1.12</v>
      </c>
      <c r="H360" s="86">
        <v>1</v>
      </c>
      <c r="I360" s="86">
        <f t="shared" si="78"/>
        <v>1.12</v>
      </c>
      <c r="J360" s="95">
        <f t="shared" si="79"/>
        <v>126.56000000000002</v>
      </c>
      <c r="K360" s="94">
        <v>0.672517</v>
      </c>
      <c r="L360" s="39">
        <v>32160</v>
      </c>
      <c r="M360" s="94">
        <v>0.816674</v>
      </c>
      <c r="N360" s="19"/>
      <c r="O360" s="94">
        <f t="shared" si="80"/>
        <v>0.672517</v>
      </c>
      <c r="P360" s="19"/>
      <c r="Q360" s="99">
        <f t="shared" si="81"/>
        <v>21628.14672</v>
      </c>
      <c r="R360" s="100">
        <f t="shared" si="82"/>
        <v>0</v>
      </c>
      <c r="S360" s="100">
        <f t="shared" si="83"/>
        <v>0</v>
      </c>
      <c r="U360" s="62"/>
    </row>
    <row r="361" spans="1:21" ht="12.75">
      <c r="A361" s="19"/>
      <c r="B361" s="18" t="s">
        <v>151</v>
      </c>
      <c r="C361" s="18">
        <v>1995</v>
      </c>
      <c r="D361" s="18">
        <v>100</v>
      </c>
      <c r="E361" s="18">
        <v>0.15</v>
      </c>
      <c r="F361" s="29">
        <v>0.6</v>
      </c>
      <c r="G361" s="86">
        <f t="shared" si="77"/>
        <v>1.12</v>
      </c>
      <c r="H361" s="86">
        <v>1</v>
      </c>
      <c r="I361" s="86">
        <f t="shared" si="78"/>
        <v>1.12</v>
      </c>
      <c r="J361" s="95">
        <f t="shared" si="79"/>
        <v>126.56000000000002</v>
      </c>
      <c r="K361" s="94">
        <v>0.672517</v>
      </c>
      <c r="L361" s="39">
        <v>83160</v>
      </c>
      <c r="M361" s="94">
        <v>0.816674</v>
      </c>
      <c r="N361" s="19"/>
      <c r="O361" s="94">
        <f t="shared" si="80"/>
        <v>0.672517</v>
      </c>
      <c r="P361" s="19"/>
      <c r="Q361" s="99">
        <f t="shared" si="81"/>
        <v>55926.51372</v>
      </c>
      <c r="R361" s="100">
        <f t="shared" si="82"/>
        <v>0</v>
      </c>
      <c r="S361" s="100">
        <f t="shared" si="83"/>
        <v>0</v>
      </c>
      <c r="U361" s="62"/>
    </row>
    <row r="362" spans="1:21" ht="13.5" thickBot="1">
      <c r="A362" s="19"/>
      <c r="B362" s="18" t="s">
        <v>151</v>
      </c>
      <c r="C362" s="18">
        <v>1995</v>
      </c>
      <c r="D362" s="18">
        <v>100</v>
      </c>
      <c r="E362" s="18">
        <v>0.15</v>
      </c>
      <c r="F362" s="29">
        <v>0.6</v>
      </c>
      <c r="G362" s="86">
        <f t="shared" si="77"/>
        <v>1.12</v>
      </c>
      <c r="H362" s="86">
        <v>1</v>
      </c>
      <c r="I362" s="86">
        <f t="shared" si="78"/>
        <v>1.12</v>
      </c>
      <c r="J362" s="95">
        <f t="shared" si="79"/>
        <v>126.56000000000002</v>
      </c>
      <c r="K362" s="94">
        <v>0.672517</v>
      </c>
      <c r="L362" s="39">
        <v>45435</v>
      </c>
      <c r="M362" s="94">
        <v>0.816674</v>
      </c>
      <c r="N362" s="19"/>
      <c r="O362" s="94">
        <f t="shared" si="80"/>
        <v>0.672517</v>
      </c>
      <c r="P362" s="19"/>
      <c r="Q362" s="99">
        <f t="shared" si="81"/>
        <v>30555.809895000002</v>
      </c>
      <c r="R362" s="100">
        <f t="shared" si="82"/>
        <v>0</v>
      </c>
      <c r="S362" s="100">
        <f t="shared" si="83"/>
        <v>0</v>
      </c>
      <c r="U362" s="62"/>
    </row>
    <row r="363" spans="2:23" ht="13.5" thickBot="1">
      <c r="B363" s="24"/>
      <c r="C363" s="24"/>
      <c r="D363" s="24"/>
      <c r="E363" s="24"/>
      <c r="F363" s="24"/>
      <c r="G363" s="24"/>
      <c r="H363" s="24"/>
      <c r="I363" s="24"/>
      <c r="J363" s="24"/>
      <c r="K363" s="112" t="s">
        <v>218</v>
      </c>
      <c r="L363" s="113">
        <f>SUM(L347:L362)</f>
        <v>22538295</v>
      </c>
      <c r="M363" s="24"/>
      <c r="N363" s="113">
        <f>SUM(N347:N362)</f>
        <v>0</v>
      </c>
      <c r="P363" s="113">
        <f>SUM(P347:P362)</f>
        <v>0</v>
      </c>
      <c r="Q363" s="113">
        <f>SUM(Q347:Q362)</f>
        <v>15157386.538515002</v>
      </c>
      <c r="R363" s="113">
        <f>SUM(R347:R362)</f>
        <v>0</v>
      </c>
      <c r="S363" s="113">
        <f>SUM(S347:S362)</f>
        <v>0</v>
      </c>
      <c r="T363" s="24"/>
      <c r="U363" s="24"/>
      <c r="V363" s="24"/>
      <c r="W363" s="24"/>
    </row>
    <row r="364" spans="2:23" ht="12.7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M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12.75">
      <c r="A365" s="17" t="s">
        <v>171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M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17" ht="12.75">
      <c r="A366" s="4" t="s">
        <v>154</v>
      </c>
      <c r="K366" s="112"/>
      <c r="L366" s="150"/>
      <c r="Q366" s="150"/>
    </row>
    <row r="367" spans="1:17" ht="12.75">
      <c r="A367" s="1" t="s">
        <v>153</v>
      </c>
      <c r="B367" s="2" t="s">
        <v>238</v>
      </c>
      <c r="C367" s="36" t="s">
        <v>239</v>
      </c>
      <c r="D367" s="2" t="s">
        <v>219</v>
      </c>
      <c r="E367" s="2" t="s">
        <v>220</v>
      </c>
      <c r="F367" s="36" t="s">
        <v>221</v>
      </c>
      <c r="G367" s="34" t="s">
        <v>221</v>
      </c>
      <c r="H367" s="34" t="s">
        <v>220</v>
      </c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2.75">
      <c r="A368" s="5"/>
      <c r="B368" s="6" t="s">
        <v>240</v>
      </c>
      <c r="C368" s="37" t="s">
        <v>241</v>
      </c>
      <c r="D368" s="6" t="s">
        <v>222</v>
      </c>
      <c r="E368" s="6" t="s">
        <v>223</v>
      </c>
      <c r="F368" s="37" t="s">
        <v>224</v>
      </c>
      <c r="G368" s="120" t="s">
        <v>225</v>
      </c>
      <c r="H368" s="120" t="s">
        <v>200</v>
      </c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2.75">
      <c r="A369" s="46"/>
      <c r="B369" s="10" t="s">
        <v>242</v>
      </c>
      <c r="C369" s="47">
        <v>1300000</v>
      </c>
      <c r="D369" s="10"/>
      <c r="E369" s="10"/>
      <c r="F369" s="38"/>
      <c r="G369" s="56"/>
      <c r="H369" s="56"/>
      <c r="I369" s="151"/>
      <c r="J369" s="151"/>
      <c r="K369" s="151"/>
      <c r="L369" s="152"/>
      <c r="M369" s="32"/>
      <c r="N369" s="32"/>
      <c r="O369" s="32"/>
      <c r="P369" s="32"/>
      <c r="Q369" s="32"/>
    </row>
    <row r="370" spans="1:17" ht="12.75">
      <c r="A370" s="12" t="s">
        <v>158</v>
      </c>
      <c r="B370" s="153">
        <v>19.8</v>
      </c>
      <c r="C370" s="19">
        <f>+C369*B370</f>
        <v>25740000</v>
      </c>
      <c r="D370" s="18" t="s">
        <v>226</v>
      </c>
      <c r="E370" s="18" t="s">
        <v>228</v>
      </c>
      <c r="F370" s="18" t="s">
        <v>227</v>
      </c>
      <c r="G370" s="18">
        <v>0.5</v>
      </c>
      <c r="H370" s="123">
        <f>G370*C370</f>
        <v>12870000</v>
      </c>
      <c r="I370" s="80"/>
      <c r="J370" s="80"/>
      <c r="K370" s="80"/>
      <c r="L370" s="154"/>
      <c r="M370" s="62"/>
      <c r="N370" s="62"/>
      <c r="O370" s="62"/>
      <c r="P370" s="62"/>
      <c r="Q370" s="136"/>
    </row>
    <row r="371" spans="1:17" ht="12.75">
      <c r="A371" s="12" t="s">
        <v>159</v>
      </c>
      <c r="B371" s="48">
        <v>8.4</v>
      </c>
      <c r="C371" s="19">
        <f>+C369*B371</f>
        <v>10920000</v>
      </c>
      <c r="D371" s="18" t="s">
        <v>226</v>
      </c>
      <c r="E371" s="18" t="s">
        <v>228</v>
      </c>
      <c r="F371" s="18" t="s">
        <v>227</v>
      </c>
      <c r="G371" s="18">
        <v>0.5</v>
      </c>
      <c r="H371" s="123">
        <f aca="true" t="shared" si="84" ref="H371:H382">G371*C371</f>
        <v>5460000</v>
      </c>
      <c r="I371" s="80"/>
      <c r="J371" s="80"/>
      <c r="K371" s="80"/>
      <c r="L371" s="154"/>
      <c r="M371" s="62"/>
      <c r="N371" s="62"/>
      <c r="O371" s="62"/>
      <c r="P371" s="62"/>
      <c r="Q371" s="136"/>
    </row>
    <row r="372" spans="1:17" ht="12.75">
      <c r="A372" s="12" t="s">
        <v>160</v>
      </c>
      <c r="B372" s="48">
        <v>16.43</v>
      </c>
      <c r="C372" s="19">
        <f>+C369*B372</f>
        <v>21359000</v>
      </c>
      <c r="D372" s="18" t="s">
        <v>226</v>
      </c>
      <c r="E372" s="18" t="s">
        <v>228</v>
      </c>
      <c r="F372" s="18" t="s">
        <v>227</v>
      </c>
      <c r="G372" s="18">
        <v>0.5</v>
      </c>
      <c r="H372" s="123">
        <f t="shared" si="84"/>
        <v>10679500</v>
      </c>
      <c r="I372" s="80"/>
      <c r="J372" s="80"/>
      <c r="K372" s="80"/>
      <c r="L372" s="154"/>
      <c r="M372" s="62"/>
      <c r="N372" s="62"/>
      <c r="O372" s="62"/>
      <c r="P372" s="62"/>
      <c r="Q372" s="136"/>
    </row>
    <row r="373" spans="1:17" ht="12.75">
      <c r="A373" s="12" t="s">
        <v>161</v>
      </c>
      <c r="B373" s="48">
        <v>3.47</v>
      </c>
      <c r="C373" s="19">
        <f>+C369*B373</f>
        <v>4511000</v>
      </c>
      <c r="D373" s="18" t="s">
        <v>226</v>
      </c>
      <c r="E373" s="18" t="s">
        <v>228</v>
      </c>
      <c r="F373" s="18" t="s">
        <v>227</v>
      </c>
      <c r="G373" s="18">
        <v>0.5</v>
      </c>
      <c r="H373" s="123">
        <f t="shared" si="84"/>
        <v>2255500</v>
      </c>
      <c r="I373" s="80"/>
      <c r="J373" s="80"/>
      <c r="K373" s="80"/>
      <c r="L373" s="154"/>
      <c r="M373" s="62"/>
      <c r="N373" s="62"/>
      <c r="O373" s="62"/>
      <c r="P373" s="62"/>
      <c r="Q373" s="136"/>
    </row>
    <row r="374" spans="1:17" ht="12.75">
      <c r="A374" s="12" t="s">
        <v>162</v>
      </c>
      <c r="B374" s="48">
        <v>9.05</v>
      </c>
      <c r="C374" s="19">
        <f>+C369*B374</f>
        <v>11765000</v>
      </c>
      <c r="D374" s="18" t="s">
        <v>226</v>
      </c>
      <c r="E374" s="18" t="s">
        <v>228</v>
      </c>
      <c r="F374" s="18" t="s">
        <v>227</v>
      </c>
      <c r="G374" s="18">
        <v>0.5</v>
      </c>
      <c r="H374" s="123">
        <f t="shared" si="84"/>
        <v>5882500</v>
      </c>
      <c r="I374" s="80"/>
      <c r="J374" s="80"/>
      <c r="K374" s="80"/>
      <c r="L374" s="154"/>
      <c r="M374" s="62"/>
      <c r="N374" s="62"/>
      <c r="O374" s="62"/>
      <c r="P374" s="62"/>
      <c r="Q374" s="136"/>
    </row>
    <row r="375" spans="1:17" ht="12.75">
      <c r="A375" s="12" t="s">
        <v>163</v>
      </c>
      <c r="B375" s="48">
        <v>13.7</v>
      </c>
      <c r="C375" s="19">
        <f>+C369*B375</f>
        <v>17810000</v>
      </c>
      <c r="D375" s="18" t="s">
        <v>226</v>
      </c>
      <c r="E375" s="18" t="s">
        <v>228</v>
      </c>
      <c r="F375" s="18" t="s">
        <v>227</v>
      </c>
      <c r="G375" s="18">
        <v>0.5</v>
      </c>
      <c r="H375" s="123">
        <f t="shared" si="84"/>
        <v>8905000</v>
      </c>
      <c r="I375" s="80"/>
      <c r="J375" s="80"/>
      <c r="K375" s="80"/>
      <c r="L375" s="154"/>
      <c r="M375" s="62"/>
      <c r="N375" s="62"/>
      <c r="O375" s="62"/>
      <c r="P375" s="62"/>
      <c r="Q375" s="136"/>
    </row>
    <row r="376" spans="1:17" ht="12.75">
      <c r="A376" s="12" t="s">
        <v>164</v>
      </c>
      <c r="B376" s="48">
        <f>17.2*0.62</f>
        <v>10.664</v>
      </c>
      <c r="C376" s="19">
        <f>+C369*B376</f>
        <v>13863200</v>
      </c>
      <c r="D376" s="18" t="s">
        <v>226</v>
      </c>
      <c r="E376" s="18" t="s">
        <v>228</v>
      </c>
      <c r="F376" s="18" t="s">
        <v>227</v>
      </c>
      <c r="G376" s="18">
        <v>0.5</v>
      </c>
      <c r="H376" s="123">
        <f t="shared" si="84"/>
        <v>6931600</v>
      </c>
      <c r="I376" s="80"/>
      <c r="J376" s="80"/>
      <c r="K376" s="80"/>
      <c r="L376" s="154"/>
      <c r="M376" s="62"/>
      <c r="N376" s="62"/>
      <c r="O376" s="62"/>
      <c r="P376" s="62"/>
      <c r="Q376" s="136"/>
    </row>
    <row r="377" spans="1:17" ht="12.75">
      <c r="A377" s="12" t="s">
        <v>165</v>
      </c>
      <c r="B377" s="48"/>
      <c r="C377" s="19">
        <f>+C369*B377</f>
        <v>0</v>
      </c>
      <c r="D377" s="18" t="s">
        <v>226</v>
      </c>
      <c r="E377" s="18" t="s">
        <v>228</v>
      </c>
      <c r="F377" s="18" t="s">
        <v>227</v>
      </c>
      <c r="G377" s="18">
        <v>0.5</v>
      </c>
      <c r="H377" s="123">
        <f t="shared" si="84"/>
        <v>0</v>
      </c>
      <c r="I377" s="80"/>
      <c r="J377" s="80"/>
      <c r="K377" s="80"/>
      <c r="L377" s="154"/>
      <c r="M377" s="62"/>
      <c r="N377" s="62"/>
      <c r="O377" s="62"/>
      <c r="P377" s="62"/>
      <c r="Q377" s="136"/>
    </row>
    <row r="378" spans="1:17" ht="12.75">
      <c r="A378" s="12" t="s">
        <v>166</v>
      </c>
      <c r="B378" s="48"/>
      <c r="C378" s="19">
        <f>+C369*B378</f>
        <v>0</v>
      </c>
      <c r="D378" s="18" t="s">
        <v>226</v>
      </c>
      <c r="E378" s="18" t="s">
        <v>228</v>
      </c>
      <c r="F378" s="18" t="s">
        <v>227</v>
      </c>
      <c r="G378" s="18">
        <v>0.5</v>
      </c>
      <c r="H378" s="123">
        <f t="shared" si="84"/>
        <v>0</v>
      </c>
      <c r="I378" s="80"/>
      <c r="J378" s="80"/>
      <c r="K378" s="80"/>
      <c r="L378" s="154"/>
      <c r="M378" s="62"/>
      <c r="N378" s="62"/>
      <c r="O378" s="62"/>
      <c r="P378" s="62"/>
      <c r="Q378" s="136"/>
    </row>
    <row r="379" spans="1:17" ht="12.75">
      <c r="A379" s="12" t="s">
        <v>167</v>
      </c>
      <c r="B379" s="48">
        <f>15.2*0.62</f>
        <v>9.424</v>
      </c>
      <c r="C379" s="19">
        <f>+C369*B379</f>
        <v>12251200</v>
      </c>
      <c r="D379" s="18" t="s">
        <v>226</v>
      </c>
      <c r="E379" s="18" t="s">
        <v>228</v>
      </c>
      <c r="F379" s="18" t="s">
        <v>227</v>
      </c>
      <c r="G379" s="18">
        <v>0.5</v>
      </c>
      <c r="H379" s="123">
        <f t="shared" si="84"/>
        <v>6125600</v>
      </c>
      <c r="I379" s="80"/>
      <c r="J379" s="80"/>
      <c r="K379" s="80"/>
      <c r="L379" s="154"/>
      <c r="M379" s="62"/>
      <c r="N379" s="62"/>
      <c r="O379" s="62"/>
      <c r="P379" s="62"/>
      <c r="Q379" s="136"/>
    </row>
    <row r="380" spans="1:17" ht="12.75">
      <c r="A380" s="12" t="s">
        <v>168</v>
      </c>
      <c r="B380" s="48">
        <f>46.2*0.62</f>
        <v>28.644000000000002</v>
      </c>
      <c r="C380" s="19">
        <f>+C369*B380</f>
        <v>37237200</v>
      </c>
      <c r="D380" s="18" t="s">
        <v>226</v>
      </c>
      <c r="E380" s="18" t="s">
        <v>228</v>
      </c>
      <c r="F380" s="18" t="s">
        <v>227</v>
      </c>
      <c r="G380" s="18">
        <v>0.5</v>
      </c>
      <c r="H380" s="123">
        <f t="shared" si="84"/>
        <v>18618600</v>
      </c>
      <c r="I380" s="80"/>
      <c r="J380" s="80"/>
      <c r="K380" s="80"/>
      <c r="L380" s="154"/>
      <c r="M380" s="62"/>
      <c r="N380" s="62"/>
      <c r="O380" s="62"/>
      <c r="P380" s="62"/>
      <c r="Q380" s="136"/>
    </row>
    <row r="381" spans="1:17" ht="12.75">
      <c r="A381" s="12" t="s">
        <v>169</v>
      </c>
      <c r="B381" s="48">
        <f>57.4*0.62</f>
        <v>35.588</v>
      </c>
      <c r="C381" s="48">
        <f>+C369*B381</f>
        <v>46264400</v>
      </c>
      <c r="D381" s="18" t="s">
        <v>226</v>
      </c>
      <c r="E381" s="18" t="s">
        <v>228</v>
      </c>
      <c r="F381" s="18" t="s">
        <v>227</v>
      </c>
      <c r="G381" s="18">
        <v>0.5</v>
      </c>
      <c r="H381" s="123">
        <f t="shared" si="84"/>
        <v>23132200</v>
      </c>
      <c r="I381" s="137"/>
      <c r="J381" s="137"/>
      <c r="K381" s="137"/>
      <c r="L381" s="154"/>
      <c r="M381" s="62"/>
      <c r="N381" s="62"/>
      <c r="O381" s="62"/>
      <c r="P381" s="62"/>
      <c r="Q381" s="136"/>
    </row>
    <row r="382" spans="1:17" ht="13.5" thickBot="1">
      <c r="A382" s="12" t="s">
        <v>170</v>
      </c>
      <c r="B382" s="48">
        <f>21*0.62</f>
        <v>13.02</v>
      </c>
      <c r="C382" s="68">
        <f>+C369*B382</f>
        <v>16926000</v>
      </c>
      <c r="D382" s="18" t="s">
        <v>226</v>
      </c>
      <c r="E382" s="18" t="s">
        <v>228</v>
      </c>
      <c r="F382" s="18" t="s">
        <v>227</v>
      </c>
      <c r="G382" s="18">
        <v>0.5</v>
      </c>
      <c r="H382" s="121">
        <f t="shared" si="84"/>
        <v>8463000</v>
      </c>
      <c r="I382" s="80"/>
      <c r="J382" s="80"/>
      <c r="K382" s="80"/>
      <c r="L382" s="154"/>
      <c r="M382" s="62"/>
      <c r="N382" s="62"/>
      <c r="O382" s="62"/>
      <c r="P382" s="62"/>
      <c r="Q382" s="136"/>
    </row>
    <row r="383" spans="1:17" ht="13.5" thickBot="1">
      <c r="A383" s="80"/>
      <c r="B383" s="112" t="s">
        <v>218</v>
      </c>
      <c r="C383" s="124">
        <f>SUM(C370:C382)</f>
        <v>218647000</v>
      </c>
      <c r="D383" s="137"/>
      <c r="E383" s="137"/>
      <c r="F383" s="137"/>
      <c r="G383" s="138"/>
      <c r="H383" s="114">
        <f>SUM(H370:H382)</f>
        <v>109323500</v>
      </c>
      <c r="I383" s="80"/>
      <c r="J383" s="80"/>
      <c r="K383" s="80"/>
      <c r="L383" s="154"/>
      <c r="M383" s="80"/>
      <c r="N383" s="62"/>
      <c r="O383" s="80"/>
      <c r="P383" s="80"/>
      <c r="Q383" s="80"/>
    </row>
    <row r="384" spans="1:17" ht="12.7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139"/>
      <c r="M384" s="80"/>
      <c r="N384" s="62"/>
      <c r="O384" s="80"/>
      <c r="P384" s="80"/>
      <c r="Q384" s="80"/>
    </row>
    <row r="385" spans="1:17" ht="12.7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62"/>
      <c r="M385" s="80"/>
      <c r="N385" s="62"/>
      <c r="O385" s="80"/>
      <c r="P385" s="80"/>
      <c r="Q385" s="80"/>
    </row>
    <row r="386" spans="1:17" ht="12.75">
      <c r="A386" s="4" t="s">
        <v>244</v>
      </c>
      <c r="I386" s="80"/>
      <c r="J386" s="80"/>
      <c r="K386" s="116"/>
      <c r="L386" s="150"/>
      <c r="M386" s="80"/>
      <c r="N386" s="62"/>
      <c r="O386" s="80"/>
      <c r="P386" s="80"/>
      <c r="Q386" s="150"/>
    </row>
    <row r="387" spans="1:17" ht="12.75">
      <c r="A387" s="1" t="s">
        <v>153</v>
      </c>
      <c r="B387" s="2" t="s">
        <v>238</v>
      </c>
      <c r="C387" s="36" t="s">
        <v>239</v>
      </c>
      <c r="D387" s="2" t="s">
        <v>219</v>
      </c>
      <c r="E387" s="2" t="s">
        <v>220</v>
      </c>
      <c r="F387" s="36" t="s">
        <v>221</v>
      </c>
      <c r="G387" s="34" t="s">
        <v>221</v>
      </c>
      <c r="H387" s="34" t="s">
        <v>220</v>
      </c>
      <c r="K387" s="112"/>
      <c r="L387" s="150"/>
      <c r="Q387" s="150"/>
    </row>
    <row r="388" spans="1:17" ht="12.75">
      <c r="A388" s="5"/>
      <c r="B388" s="6" t="s">
        <v>240</v>
      </c>
      <c r="C388" s="37" t="s">
        <v>241</v>
      </c>
      <c r="D388" s="6" t="s">
        <v>222</v>
      </c>
      <c r="E388" s="6" t="s">
        <v>223</v>
      </c>
      <c r="F388" s="37" t="s">
        <v>224</v>
      </c>
      <c r="G388" s="120" t="s">
        <v>225</v>
      </c>
      <c r="H388" s="120" t="s">
        <v>200</v>
      </c>
      <c r="K388" s="112"/>
      <c r="L388" s="150"/>
      <c r="Q388" s="150"/>
    </row>
    <row r="389" spans="1:17" ht="12.75">
      <c r="A389" s="46"/>
      <c r="B389" s="10" t="s">
        <v>242</v>
      </c>
      <c r="C389" s="47">
        <f>(25+15+5+3+15*1.2)*6*5280/3.281</f>
        <v>637269.125266687</v>
      </c>
      <c r="D389" s="10"/>
      <c r="E389" s="10"/>
      <c r="F389" s="38"/>
      <c r="G389" s="56"/>
      <c r="H389" s="56"/>
      <c r="K389" s="112"/>
      <c r="L389" s="150"/>
      <c r="Q389" s="150"/>
    </row>
    <row r="390" spans="1:17" ht="12.75">
      <c r="A390" s="12" t="s">
        <v>158</v>
      </c>
      <c r="B390" s="48">
        <v>45.57</v>
      </c>
      <c r="C390" s="19">
        <f>+C389*B390</f>
        <v>29040354.038402926</v>
      </c>
      <c r="D390" s="18" t="s">
        <v>226</v>
      </c>
      <c r="E390" s="18" t="s">
        <v>228</v>
      </c>
      <c r="F390" s="18" t="s">
        <v>227</v>
      </c>
      <c r="G390" s="18">
        <v>0.5</v>
      </c>
      <c r="H390" s="123">
        <f>G390*C390</f>
        <v>14520177.019201463</v>
      </c>
      <c r="K390" s="112"/>
      <c r="L390" s="150"/>
      <c r="Q390" s="150"/>
    </row>
    <row r="391" spans="1:17" ht="12.75">
      <c r="A391" s="12" t="s">
        <v>159</v>
      </c>
      <c r="B391" s="48">
        <v>24.12</v>
      </c>
      <c r="C391" s="19">
        <f>+C389*B391</f>
        <v>15370931.301432492</v>
      </c>
      <c r="D391" s="18" t="s">
        <v>226</v>
      </c>
      <c r="E391" s="18" t="s">
        <v>228</v>
      </c>
      <c r="F391" s="18" t="s">
        <v>227</v>
      </c>
      <c r="G391" s="18">
        <v>0.5</v>
      </c>
      <c r="H391" s="123">
        <f aca="true" t="shared" si="85" ref="H391:H402">G391*C391</f>
        <v>7685465.650716246</v>
      </c>
      <c r="K391" s="112"/>
      <c r="L391" s="150"/>
      <c r="Q391" s="150"/>
    </row>
    <row r="392" spans="1:17" ht="12.75">
      <c r="A392" s="12" t="s">
        <v>160</v>
      </c>
      <c r="B392" s="48">
        <v>45.63</v>
      </c>
      <c r="C392" s="19">
        <f>+C389*B392</f>
        <v>29078590.18591893</v>
      </c>
      <c r="D392" s="18" t="s">
        <v>226</v>
      </c>
      <c r="E392" s="18" t="s">
        <v>228</v>
      </c>
      <c r="F392" s="18" t="s">
        <v>227</v>
      </c>
      <c r="G392" s="18">
        <v>0.5</v>
      </c>
      <c r="H392" s="123">
        <f t="shared" si="85"/>
        <v>14539295.092959465</v>
      </c>
      <c r="K392" s="112"/>
      <c r="L392" s="150"/>
      <c r="Q392" s="150"/>
    </row>
    <row r="393" spans="1:17" ht="12.75">
      <c r="A393" s="12" t="s">
        <v>161</v>
      </c>
      <c r="B393" s="48">
        <v>32.61</v>
      </c>
      <c r="C393" s="19">
        <f>+C389*B393</f>
        <v>20781346.174946662</v>
      </c>
      <c r="D393" s="18" t="s">
        <v>226</v>
      </c>
      <c r="E393" s="18" t="s">
        <v>228</v>
      </c>
      <c r="F393" s="18" t="s">
        <v>227</v>
      </c>
      <c r="G393" s="18">
        <v>0.5</v>
      </c>
      <c r="H393" s="123">
        <f t="shared" si="85"/>
        <v>10390673.087473331</v>
      </c>
      <c r="K393" s="112"/>
      <c r="L393" s="150"/>
      <c r="Q393" s="150"/>
    </row>
    <row r="394" spans="1:17" ht="12.75">
      <c r="A394" s="12" t="s">
        <v>162</v>
      </c>
      <c r="B394" s="48">
        <v>12.96</v>
      </c>
      <c r="C394" s="19">
        <f>+C389*B394</f>
        <v>8259007.863456264</v>
      </c>
      <c r="D394" s="18" t="s">
        <v>226</v>
      </c>
      <c r="E394" s="18" t="s">
        <v>228</v>
      </c>
      <c r="F394" s="18" t="s">
        <v>227</v>
      </c>
      <c r="G394" s="18">
        <v>0.5</v>
      </c>
      <c r="H394" s="123">
        <f t="shared" si="85"/>
        <v>4129503.931728132</v>
      </c>
      <c r="K394" s="112"/>
      <c r="L394" s="150"/>
      <c r="Q394" s="150"/>
    </row>
    <row r="395" spans="1:17" ht="12.75">
      <c r="A395" s="12" t="s">
        <v>163</v>
      </c>
      <c r="B395" s="48">
        <v>20.09</v>
      </c>
      <c r="C395" s="19">
        <f>+C389*B395</f>
        <v>12802736.726607742</v>
      </c>
      <c r="D395" s="18" t="s">
        <v>226</v>
      </c>
      <c r="E395" s="18" t="s">
        <v>228</v>
      </c>
      <c r="F395" s="18" t="s">
        <v>227</v>
      </c>
      <c r="G395" s="18">
        <v>0.5</v>
      </c>
      <c r="H395" s="123">
        <f t="shared" si="85"/>
        <v>6401368.363303871</v>
      </c>
      <c r="K395" s="112"/>
      <c r="L395" s="150"/>
      <c r="Q395" s="150"/>
    </row>
    <row r="396" spans="1:17" ht="12.75">
      <c r="A396" s="12" t="s">
        <v>164</v>
      </c>
      <c r="B396" s="48">
        <f>32.5*0.62</f>
        <v>20.15</v>
      </c>
      <c r="C396" s="19">
        <f>+C389*B396</f>
        <v>12840972.874123743</v>
      </c>
      <c r="D396" s="18" t="s">
        <v>226</v>
      </c>
      <c r="E396" s="18" t="s">
        <v>228</v>
      </c>
      <c r="F396" s="18" t="s">
        <v>227</v>
      </c>
      <c r="G396" s="18">
        <v>0.5</v>
      </c>
      <c r="H396" s="123">
        <f t="shared" si="85"/>
        <v>6420486.437061871</v>
      </c>
      <c r="K396" s="112"/>
      <c r="L396" s="150"/>
      <c r="Q396" s="150"/>
    </row>
    <row r="397" spans="1:17" ht="12.75">
      <c r="A397" s="12" t="s">
        <v>165</v>
      </c>
      <c r="B397" s="48">
        <f>61.5*0.62</f>
        <v>38.13</v>
      </c>
      <c r="C397" s="19">
        <f>+C389*B397</f>
        <v>24299071.746418778</v>
      </c>
      <c r="D397" s="18" t="s">
        <v>226</v>
      </c>
      <c r="E397" s="18" t="s">
        <v>228</v>
      </c>
      <c r="F397" s="18" t="s">
        <v>227</v>
      </c>
      <c r="G397" s="18">
        <v>0.5</v>
      </c>
      <c r="H397" s="123">
        <f t="shared" si="85"/>
        <v>12149535.873209389</v>
      </c>
      <c r="K397" s="112"/>
      <c r="L397" s="150"/>
      <c r="Q397" s="150"/>
    </row>
    <row r="398" spans="1:17" ht="12.75">
      <c r="A398" s="12" t="s">
        <v>166</v>
      </c>
      <c r="B398" s="48">
        <f>52.6*0.62</f>
        <v>32.612</v>
      </c>
      <c r="C398" s="19">
        <f>+C389*B398</f>
        <v>20782620.713197198</v>
      </c>
      <c r="D398" s="18" t="s">
        <v>226</v>
      </c>
      <c r="E398" s="18" t="s">
        <v>228</v>
      </c>
      <c r="F398" s="18" t="s">
        <v>227</v>
      </c>
      <c r="G398" s="18">
        <v>0.5</v>
      </c>
      <c r="H398" s="123">
        <f t="shared" si="85"/>
        <v>10391310.356598599</v>
      </c>
      <c r="K398" s="112"/>
      <c r="L398" s="150"/>
      <c r="Q398" s="150"/>
    </row>
    <row r="399" spans="1:17" ht="12.75">
      <c r="A399" s="12" t="s">
        <v>167</v>
      </c>
      <c r="B399" s="48">
        <f>31.8*0.62</f>
        <v>19.716</v>
      </c>
      <c r="C399" s="19">
        <f>+C389*B399</f>
        <v>12564398.073758002</v>
      </c>
      <c r="D399" s="18" t="s">
        <v>226</v>
      </c>
      <c r="E399" s="18" t="s">
        <v>228</v>
      </c>
      <c r="F399" s="18" t="s">
        <v>227</v>
      </c>
      <c r="G399" s="18">
        <v>0.5</v>
      </c>
      <c r="H399" s="123">
        <f t="shared" si="85"/>
        <v>6282199.036879001</v>
      </c>
      <c r="K399" s="112"/>
      <c r="L399" s="150"/>
      <c r="Q399" s="150"/>
    </row>
    <row r="400" spans="1:17" ht="12.75">
      <c r="A400" s="12" t="s">
        <v>168</v>
      </c>
      <c r="B400" s="48">
        <f>48.1*0.62</f>
        <v>29.822</v>
      </c>
      <c r="C400" s="19">
        <f>+C389*B400</f>
        <v>19004639.85370314</v>
      </c>
      <c r="D400" s="18" t="s">
        <v>226</v>
      </c>
      <c r="E400" s="18" t="s">
        <v>228</v>
      </c>
      <c r="F400" s="18" t="s">
        <v>227</v>
      </c>
      <c r="G400" s="18">
        <v>0.5</v>
      </c>
      <c r="H400" s="123">
        <f t="shared" si="85"/>
        <v>9502319.92685157</v>
      </c>
      <c r="K400" s="112"/>
      <c r="L400" s="150"/>
      <c r="Q400" s="150"/>
    </row>
    <row r="401" spans="1:17" ht="12.75">
      <c r="A401" s="12" t="s">
        <v>169</v>
      </c>
      <c r="B401" s="48">
        <f>43.3*0.62</f>
        <v>26.845999999999997</v>
      </c>
      <c r="C401" s="48">
        <f>+C389*B401</f>
        <v>17108126.93690948</v>
      </c>
      <c r="D401" s="18" t="s">
        <v>226</v>
      </c>
      <c r="E401" s="18" t="s">
        <v>228</v>
      </c>
      <c r="F401" s="18" t="s">
        <v>227</v>
      </c>
      <c r="G401" s="18">
        <v>0.5</v>
      </c>
      <c r="H401" s="123">
        <f t="shared" si="85"/>
        <v>8554063.46845474</v>
      </c>
      <c r="K401" s="112"/>
      <c r="L401" s="150"/>
      <c r="Q401" s="150"/>
    </row>
    <row r="402" spans="1:17" ht="13.5" thickBot="1">
      <c r="A402" s="12" t="s">
        <v>170</v>
      </c>
      <c r="B402" s="48">
        <f>19*0.62</f>
        <v>11.78</v>
      </c>
      <c r="C402" s="68">
        <f>+C389*B402</f>
        <v>7507030.295641572</v>
      </c>
      <c r="D402" s="18" t="s">
        <v>226</v>
      </c>
      <c r="E402" s="18" t="s">
        <v>228</v>
      </c>
      <c r="F402" s="18" t="s">
        <v>227</v>
      </c>
      <c r="G402" s="18">
        <v>0.5</v>
      </c>
      <c r="H402" s="121">
        <f t="shared" si="85"/>
        <v>3753515.147820786</v>
      </c>
      <c r="K402" s="112"/>
      <c r="L402" s="150"/>
      <c r="Q402" s="150"/>
    </row>
    <row r="403" spans="1:17" ht="13.5" thickBot="1">
      <c r="A403" s="80"/>
      <c r="B403" s="112" t="s">
        <v>218</v>
      </c>
      <c r="C403" s="124">
        <f>SUM(C390:C402)</f>
        <v>229439826.78451693</v>
      </c>
      <c r="D403" s="137"/>
      <c r="E403" s="137"/>
      <c r="F403" s="137"/>
      <c r="G403" s="138"/>
      <c r="H403" s="114">
        <f>SUM(H390:H402)</f>
        <v>114719913.39225847</v>
      </c>
      <c r="K403" s="112"/>
      <c r="L403" s="150"/>
      <c r="Q403" s="150"/>
    </row>
    <row r="404" spans="11:17" ht="12.75">
      <c r="K404" s="112"/>
      <c r="L404" s="150"/>
      <c r="Q404" s="150"/>
    </row>
    <row r="405" spans="11:17" ht="12.75">
      <c r="K405" s="112"/>
      <c r="L405" s="150"/>
      <c r="Q405" s="150"/>
    </row>
    <row r="406" spans="1:17" ht="12.75">
      <c r="A406" s="4" t="s">
        <v>155</v>
      </c>
      <c r="K406" s="112"/>
      <c r="L406" s="150"/>
      <c r="Q406" s="150"/>
    </row>
    <row r="407" spans="1:17" ht="12.75">
      <c r="A407" s="1" t="s">
        <v>153</v>
      </c>
      <c r="B407" s="2" t="s">
        <v>238</v>
      </c>
      <c r="C407" s="36" t="s">
        <v>239</v>
      </c>
      <c r="D407" s="2" t="s">
        <v>219</v>
      </c>
      <c r="E407" s="2" t="s">
        <v>220</v>
      </c>
      <c r="F407" s="36" t="s">
        <v>221</v>
      </c>
      <c r="G407" s="34" t="s">
        <v>221</v>
      </c>
      <c r="H407" s="34" t="s">
        <v>220</v>
      </c>
      <c r="K407" s="112"/>
      <c r="L407" s="150"/>
      <c r="Q407" s="150"/>
    </row>
    <row r="408" spans="1:17" ht="12.75">
      <c r="A408" s="5"/>
      <c r="B408" s="6" t="s">
        <v>240</v>
      </c>
      <c r="C408" s="37" t="s">
        <v>241</v>
      </c>
      <c r="D408" s="6" t="s">
        <v>222</v>
      </c>
      <c r="E408" s="6" t="s">
        <v>223</v>
      </c>
      <c r="F408" s="37" t="s">
        <v>224</v>
      </c>
      <c r="G408" s="120" t="s">
        <v>225</v>
      </c>
      <c r="H408" s="120" t="s">
        <v>200</v>
      </c>
      <c r="K408" s="112"/>
      <c r="L408" s="150"/>
      <c r="Q408" s="150"/>
    </row>
    <row r="409" spans="1:17" ht="12.75">
      <c r="A409" s="46"/>
      <c r="B409" s="10" t="s">
        <v>242</v>
      </c>
      <c r="C409" s="47">
        <f>(15+3)*5*5280/3.281</f>
        <v>144833.8921060652</v>
      </c>
      <c r="D409" s="10"/>
      <c r="E409" s="10"/>
      <c r="F409" s="38"/>
      <c r="G409" s="56"/>
      <c r="H409" s="56"/>
      <c r="K409" s="112"/>
      <c r="L409" s="150"/>
      <c r="Q409" s="150"/>
    </row>
    <row r="410" spans="1:17" ht="12.75">
      <c r="A410" s="12" t="s">
        <v>158</v>
      </c>
      <c r="B410" s="48">
        <v>7</v>
      </c>
      <c r="C410" s="19">
        <f>+C409*B410</f>
        <v>1013837.2447424565</v>
      </c>
      <c r="D410" s="18" t="s">
        <v>226</v>
      </c>
      <c r="E410" s="18" t="s">
        <v>228</v>
      </c>
      <c r="F410" s="18" t="s">
        <v>227</v>
      </c>
      <c r="G410" s="18">
        <v>0.5</v>
      </c>
      <c r="H410" s="123">
        <f>G410*C410</f>
        <v>506918.62237122824</v>
      </c>
      <c r="K410" s="112"/>
      <c r="L410" s="150"/>
      <c r="Q410" s="150"/>
    </row>
    <row r="411" spans="1:17" ht="12.75">
      <c r="A411" s="12" t="s">
        <v>159</v>
      </c>
      <c r="B411" s="48">
        <v>2.98</v>
      </c>
      <c r="C411" s="19">
        <f>+C409*B411</f>
        <v>431604.9984760743</v>
      </c>
      <c r="D411" s="18" t="s">
        <v>226</v>
      </c>
      <c r="E411" s="18" t="s">
        <v>228</v>
      </c>
      <c r="F411" s="18" t="s">
        <v>227</v>
      </c>
      <c r="G411" s="18">
        <v>0.5</v>
      </c>
      <c r="H411" s="123">
        <f aca="true" t="shared" si="86" ref="H411:H422">G411*C411</f>
        <v>215802.49923803716</v>
      </c>
      <c r="K411" s="112"/>
      <c r="L411" s="150"/>
      <c r="Q411" s="150"/>
    </row>
    <row r="412" spans="1:17" ht="12.75">
      <c r="A412" s="12" t="s">
        <v>160</v>
      </c>
      <c r="B412" s="48">
        <v>2.98</v>
      </c>
      <c r="C412" s="19">
        <f>+C409*B412</f>
        <v>431604.9984760743</v>
      </c>
      <c r="D412" s="18" t="s">
        <v>226</v>
      </c>
      <c r="E412" s="18" t="s">
        <v>228</v>
      </c>
      <c r="F412" s="18" t="s">
        <v>227</v>
      </c>
      <c r="G412" s="18">
        <v>0.5</v>
      </c>
      <c r="H412" s="123">
        <f t="shared" si="86"/>
        <v>215802.49923803716</v>
      </c>
      <c r="K412" s="112"/>
      <c r="L412" s="150"/>
      <c r="Q412" s="150"/>
    </row>
    <row r="413" spans="1:17" ht="12.75">
      <c r="A413" s="12" t="s">
        <v>161</v>
      </c>
      <c r="B413" s="48">
        <v>5.33</v>
      </c>
      <c r="C413" s="19">
        <f>+C409*B413</f>
        <v>771964.6449253275</v>
      </c>
      <c r="D413" s="18" t="s">
        <v>226</v>
      </c>
      <c r="E413" s="18" t="s">
        <v>228</v>
      </c>
      <c r="F413" s="18" t="s">
        <v>227</v>
      </c>
      <c r="G413" s="18">
        <v>0.5</v>
      </c>
      <c r="H413" s="123">
        <f t="shared" si="86"/>
        <v>385982.32246266375</v>
      </c>
      <c r="K413" s="112"/>
      <c r="L413" s="150"/>
      <c r="Q413" s="150"/>
    </row>
    <row r="414" spans="1:17" ht="12.75">
      <c r="A414" s="12" t="s">
        <v>162</v>
      </c>
      <c r="B414" s="48"/>
      <c r="C414" s="19">
        <f>+C409*B414</f>
        <v>0</v>
      </c>
      <c r="D414" s="18" t="s">
        <v>226</v>
      </c>
      <c r="E414" s="18" t="s">
        <v>228</v>
      </c>
      <c r="F414" s="18" t="s">
        <v>227</v>
      </c>
      <c r="G414" s="18">
        <v>0.5</v>
      </c>
      <c r="H414" s="123">
        <f t="shared" si="86"/>
        <v>0</v>
      </c>
      <c r="K414" s="112"/>
      <c r="L414" s="150"/>
      <c r="Q414" s="150"/>
    </row>
    <row r="415" spans="1:17" ht="12.75">
      <c r="A415" s="12" t="s">
        <v>163</v>
      </c>
      <c r="B415" s="48">
        <f>5*0.62</f>
        <v>3.1</v>
      </c>
      <c r="C415" s="19">
        <f>+C409*B415</f>
        <v>448985.06552880217</v>
      </c>
      <c r="D415" s="18" t="s">
        <v>226</v>
      </c>
      <c r="E415" s="18" t="s">
        <v>228</v>
      </c>
      <c r="F415" s="18" t="s">
        <v>227</v>
      </c>
      <c r="G415" s="18">
        <v>0.5</v>
      </c>
      <c r="H415" s="123">
        <f t="shared" si="86"/>
        <v>224492.53276440108</v>
      </c>
      <c r="K415" s="112"/>
      <c r="L415" s="150"/>
      <c r="Q415" s="150"/>
    </row>
    <row r="416" spans="1:17" ht="12.75">
      <c r="A416" s="12" t="s">
        <v>164</v>
      </c>
      <c r="B416" s="48">
        <f>13*0.62</f>
        <v>8.06</v>
      </c>
      <c r="C416" s="19">
        <f>+C409*B416</f>
        <v>1167361.1703748857</v>
      </c>
      <c r="D416" s="18" t="s">
        <v>226</v>
      </c>
      <c r="E416" s="18" t="s">
        <v>228</v>
      </c>
      <c r="F416" s="18" t="s">
        <v>227</v>
      </c>
      <c r="G416" s="18">
        <v>0.5</v>
      </c>
      <c r="H416" s="123">
        <f t="shared" si="86"/>
        <v>583680.5851874428</v>
      </c>
      <c r="K416" s="112"/>
      <c r="L416" s="150"/>
      <c r="Q416" s="150"/>
    </row>
    <row r="417" spans="1:17" ht="12.75">
      <c r="A417" s="12" t="s">
        <v>165</v>
      </c>
      <c r="B417" s="48"/>
      <c r="C417" s="19">
        <f>+C409*B417</f>
        <v>0</v>
      </c>
      <c r="D417" s="18" t="s">
        <v>226</v>
      </c>
      <c r="E417" s="18" t="s">
        <v>228</v>
      </c>
      <c r="F417" s="18" t="s">
        <v>227</v>
      </c>
      <c r="G417" s="18">
        <v>0.5</v>
      </c>
      <c r="H417" s="123">
        <f t="shared" si="86"/>
        <v>0</v>
      </c>
      <c r="K417" s="112"/>
      <c r="L417" s="150"/>
      <c r="Q417" s="150"/>
    </row>
    <row r="418" spans="1:17" ht="12.75">
      <c r="A418" s="12" t="s">
        <v>166</v>
      </c>
      <c r="B418" s="48"/>
      <c r="C418" s="19">
        <f>+C409*B418</f>
        <v>0</v>
      </c>
      <c r="D418" s="18" t="s">
        <v>226</v>
      </c>
      <c r="E418" s="18" t="s">
        <v>228</v>
      </c>
      <c r="F418" s="18" t="s">
        <v>227</v>
      </c>
      <c r="G418" s="18">
        <v>0.5</v>
      </c>
      <c r="H418" s="123">
        <f t="shared" si="86"/>
        <v>0</v>
      </c>
      <c r="K418" s="112"/>
      <c r="L418" s="150"/>
      <c r="Q418" s="150"/>
    </row>
    <row r="419" spans="1:17" ht="12.75">
      <c r="A419" s="12" t="s">
        <v>167</v>
      </c>
      <c r="B419" s="48">
        <f>7*0.62</f>
        <v>4.34</v>
      </c>
      <c r="C419" s="19">
        <f>+C409*B419</f>
        <v>628579.091740323</v>
      </c>
      <c r="D419" s="18" t="s">
        <v>226</v>
      </c>
      <c r="E419" s="18" t="s">
        <v>228</v>
      </c>
      <c r="F419" s="18" t="s">
        <v>227</v>
      </c>
      <c r="G419" s="18">
        <v>0.5</v>
      </c>
      <c r="H419" s="123">
        <f t="shared" si="86"/>
        <v>314289.5458701615</v>
      </c>
      <c r="K419" s="112"/>
      <c r="L419" s="150"/>
      <c r="Q419" s="150"/>
    </row>
    <row r="420" spans="1:17" ht="12.75">
      <c r="A420" s="12" t="s">
        <v>168</v>
      </c>
      <c r="B420" s="48">
        <f>6.2*0.62</f>
        <v>3.844</v>
      </c>
      <c r="C420" s="19">
        <f>+C409*B420</f>
        <v>556741.4812557147</v>
      </c>
      <c r="D420" s="18" t="s">
        <v>226</v>
      </c>
      <c r="E420" s="18" t="s">
        <v>228</v>
      </c>
      <c r="F420" s="18" t="s">
        <v>227</v>
      </c>
      <c r="G420" s="18">
        <v>0.5</v>
      </c>
      <c r="H420" s="123">
        <f t="shared" si="86"/>
        <v>278370.74062785733</v>
      </c>
      <c r="K420" s="112"/>
      <c r="L420" s="150"/>
      <c r="Q420" s="150"/>
    </row>
    <row r="421" spans="1:17" ht="12.75">
      <c r="A421" s="12" t="s">
        <v>169</v>
      </c>
      <c r="B421" s="48">
        <f>0.3*0.62</f>
        <v>0.186</v>
      </c>
      <c r="C421" s="48">
        <f>+C409*B421</f>
        <v>26939.10393172813</v>
      </c>
      <c r="D421" s="18" t="s">
        <v>226</v>
      </c>
      <c r="E421" s="18" t="s">
        <v>228</v>
      </c>
      <c r="F421" s="18" t="s">
        <v>227</v>
      </c>
      <c r="G421" s="18">
        <v>0.5</v>
      </c>
      <c r="H421" s="123">
        <f t="shared" si="86"/>
        <v>13469.551965864064</v>
      </c>
      <c r="K421" s="112"/>
      <c r="L421" s="150"/>
      <c r="Q421" s="150"/>
    </row>
    <row r="422" spans="1:17" ht="13.5" thickBot="1">
      <c r="A422" s="12" t="s">
        <v>170</v>
      </c>
      <c r="B422" s="48">
        <f>1.7*0.62</f>
        <v>1.054</v>
      </c>
      <c r="C422" s="68">
        <f>+C409*B422</f>
        <v>152654.92227979272</v>
      </c>
      <c r="D422" s="18" t="s">
        <v>226</v>
      </c>
      <c r="E422" s="18" t="s">
        <v>228</v>
      </c>
      <c r="F422" s="18" t="s">
        <v>227</v>
      </c>
      <c r="G422" s="18">
        <v>0.5</v>
      </c>
      <c r="H422" s="121">
        <f t="shared" si="86"/>
        <v>76327.46113989636</v>
      </c>
      <c r="K422" s="112"/>
      <c r="L422" s="150"/>
      <c r="Q422" s="150"/>
    </row>
    <row r="423" spans="1:17" ht="13.5" thickBot="1">
      <c r="A423" s="80"/>
      <c r="B423" s="112" t="s">
        <v>218</v>
      </c>
      <c r="C423" s="124">
        <f>SUM(C410:C422)</f>
        <v>5630272.721731179</v>
      </c>
      <c r="D423" s="137"/>
      <c r="E423" s="137"/>
      <c r="F423" s="137"/>
      <c r="G423" s="138"/>
      <c r="H423" s="114">
        <f>SUM(H410:H422)</f>
        <v>2815136.3608655897</v>
      </c>
      <c r="K423" s="112"/>
      <c r="L423" s="150"/>
      <c r="Q423" s="150"/>
    </row>
    <row r="424" spans="11:17" ht="12.75">
      <c r="K424" s="112"/>
      <c r="L424" s="150"/>
      <c r="Q424" s="150"/>
    </row>
    <row r="425" spans="11:17" ht="12.75">
      <c r="K425" s="112"/>
      <c r="L425" s="150"/>
      <c r="Q425" s="150"/>
    </row>
    <row r="426" spans="1:17" ht="12.75">
      <c r="A426" s="4" t="s">
        <v>156</v>
      </c>
      <c r="K426" s="112"/>
      <c r="L426" s="150"/>
      <c r="Q426" s="150"/>
    </row>
    <row r="427" spans="1:17" ht="12.75">
      <c r="A427" s="1" t="s">
        <v>153</v>
      </c>
      <c r="B427" s="2" t="s">
        <v>238</v>
      </c>
      <c r="C427" s="36" t="s">
        <v>239</v>
      </c>
      <c r="D427" s="2" t="s">
        <v>219</v>
      </c>
      <c r="E427" s="2" t="s">
        <v>220</v>
      </c>
      <c r="F427" s="36" t="s">
        <v>221</v>
      </c>
      <c r="G427" s="34" t="s">
        <v>221</v>
      </c>
      <c r="H427" s="34" t="s">
        <v>220</v>
      </c>
      <c r="K427" s="112"/>
      <c r="L427" s="150"/>
      <c r="Q427" s="150"/>
    </row>
    <row r="428" spans="1:17" ht="12.75">
      <c r="A428" s="5"/>
      <c r="B428" s="6" t="s">
        <v>240</v>
      </c>
      <c r="C428" s="37" t="s">
        <v>241</v>
      </c>
      <c r="D428" s="6" t="s">
        <v>222</v>
      </c>
      <c r="E428" s="6" t="s">
        <v>223</v>
      </c>
      <c r="F428" s="37" t="s">
        <v>224</v>
      </c>
      <c r="G428" s="120" t="s">
        <v>225</v>
      </c>
      <c r="H428" s="120" t="s">
        <v>200</v>
      </c>
      <c r="K428" s="112"/>
      <c r="L428" s="150"/>
      <c r="Q428" s="150"/>
    </row>
    <row r="429" spans="1:17" ht="12.75">
      <c r="A429" s="46"/>
      <c r="B429" s="10" t="s">
        <v>242</v>
      </c>
      <c r="C429" s="47">
        <f>(5)*5*5280/3.281</f>
        <v>40231.63669612923</v>
      </c>
      <c r="D429" s="10"/>
      <c r="E429" s="10"/>
      <c r="F429" s="38"/>
      <c r="G429" s="56"/>
      <c r="H429" s="56"/>
      <c r="K429" s="112"/>
      <c r="L429" s="150"/>
      <c r="Q429" s="150"/>
    </row>
    <row r="430" spans="1:17" ht="12.75">
      <c r="A430" s="12" t="s">
        <v>158</v>
      </c>
      <c r="B430" s="48">
        <v>6.23</v>
      </c>
      <c r="C430" s="19">
        <f>+C429*B430</f>
        <v>250643.09661688513</v>
      </c>
      <c r="D430" s="18" t="s">
        <v>226</v>
      </c>
      <c r="E430" s="18" t="s">
        <v>228</v>
      </c>
      <c r="F430" s="18" t="s">
        <v>227</v>
      </c>
      <c r="G430" s="18">
        <v>0.5</v>
      </c>
      <c r="H430" s="123">
        <f>G430*C430</f>
        <v>125321.54830844257</v>
      </c>
      <c r="K430" s="112"/>
      <c r="L430" s="150"/>
      <c r="Q430" s="150"/>
    </row>
    <row r="431" spans="1:17" ht="12.75">
      <c r="A431" s="12" t="s">
        <v>159</v>
      </c>
      <c r="B431" s="48">
        <v>7.32</v>
      </c>
      <c r="C431" s="19">
        <f>+C429*B431</f>
        <v>294495.580615666</v>
      </c>
      <c r="D431" s="18" t="s">
        <v>226</v>
      </c>
      <c r="E431" s="18" t="s">
        <v>228</v>
      </c>
      <c r="F431" s="18" t="s">
        <v>227</v>
      </c>
      <c r="G431" s="18">
        <v>0.5</v>
      </c>
      <c r="H431" s="123">
        <f aca="true" t="shared" si="87" ref="H431:H442">G431*C431</f>
        <v>147247.790307833</v>
      </c>
      <c r="K431" s="112"/>
      <c r="L431" s="150"/>
      <c r="Q431" s="150"/>
    </row>
    <row r="432" spans="1:17" ht="12.75">
      <c r="A432" s="12" t="s">
        <v>160</v>
      </c>
      <c r="B432" s="48">
        <v>0.37</v>
      </c>
      <c r="C432" s="19">
        <f>+C429*B432</f>
        <v>14885.705577567815</v>
      </c>
      <c r="D432" s="18" t="s">
        <v>226</v>
      </c>
      <c r="E432" s="18" t="s">
        <v>228</v>
      </c>
      <c r="F432" s="18" t="s">
        <v>227</v>
      </c>
      <c r="G432" s="18">
        <v>0.5</v>
      </c>
      <c r="H432" s="123">
        <f t="shared" si="87"/>
        <v>7442.852788783907</v>
      </c>
      <c r="K432" s="112"/>
      <c r="L432" s="150"/>
      <c r="Q432" s="150"/>
    </row>
    <row r="433" spans="1:17" ht="12.75">
      <c r="A433" s="12" t="s">
        <v>161</v>
      </c>
      <c r="B433" s="48">
        <v>1.67</v>
      </c>
      <c r="C433" s="19">
        <f>+C429*B433</f>
        <v>67186.83328253581</v>
      </c>
      <c r="D433" s="18" t="s">
        <v>226</v>
      </c>
      <c r="E433" s="18" t="s">
        <v>228</v>
      </c>
      <c r="F433" s="18" t="s">
        <v>227</v>
      </c>
      <c r="G433" s="18">
        <v>0.5</v>
      </c>
      <c r="H433" s="123">
        <f t="shared" si="87"/>
        <v>33593.416641267904</v>
      </c>
      <c r="K433" s="112"/>
      <c r="L433" s="150"/>
      <c r="Q433" s="150"/>
    </row>
    <row r="434" spans="1:17" ht="12.75">
      <c r="A434" s="12" t="s">
        <v>162</v>
      </c>
      <c r="B434" s="48"/>
      <c r="C434" s="19">
        <f>+C429*B434</f>
        <v>0</v>
      </c>
      <c r="D434" s="18" t="s">
        <v>226</v>
      </c>
      <c r="E434" s="18" t="s">
        <v>228</v>
      </c>
      <c r="F434" s="18" t="s">
        <v>227</v>
      </c>
      <c r="G434" s="18">
        <v>0.5</v>
      </c>
      <c r="H434" s="123">
        <f t="shared" si="87"/>
        <v>0</v>
      </c>
      <c r="K434" s="112"/>
      <c r="L434" s="150"/>
      <c r="Q434" s="150"/>
    </row>
    <row r="435" spans="1:17" ht="12.75">
      <c r="A435" s="12" t="s">
        <v>163</v>
      </c>
      <c r="B435" s="48">
        <f>7.9*0.62</f>
        <v>4.898000000000001</v>
      </c>
      <c r="C435" s="19">
        <f>+C429*B435</f>
        <v>197054.55653764098</v>
      </c>
      <c r="D435" s="18" t="s">
        <v>226</v>
      </c>
      <c r="E435" s="18" t="s">
        <v>228</v>
      </c>
      <c r="F435" s="18" t="s">
        <v>227</v>
      </c>
      <c r="G435" s="18">
        <v>0.5</v>
      </c>
      <c r="H435" s="123">
        <f t="shared" si="87"/>
        <v>98527.27826882049</v>
      </c>
      <c r="K435" s="112"/>
      <c r="L435" s="150"/>
      <c r="Q435" s="150"/>
    </row>
    <row r="436" spans="1:17" ht="12.75">
      <c r="A436" s="12" t="s">
        <v>164</v>
      </c>
      <c r="B436" s="48">
        <v>1.24</v>
      </c>
      <c r="C436" s="19">
        <f>+C429*B436</f>
        <v>49887.229503200244</v>
      </c>
      <c r="D436" s="18" t="s">
        <v>226</v>
      </c>
      <c r="E436" s="18" t="s">
        <v>228</v>
      </c>
      <c r="F436" s="18" t="s">
        <v>227</v>
      </c>
      <c r="G436" s="18">
        <v>0.5</v>
      </c>
      <c r="H436" s="123">
        <f t="shared" si="87"/>
        <v>24943.614751600122</v>
      </c>
      <c r="K436" s="112"/>
      <c r="L436" s="150"/>
      <c r="Q436" s="150"/>
    </row>
    <row r="437" spans="1:17" ht="12.75">
      <c r="A437" s="12" t="s">
        <v>165</v>
      </c>
      <c r="B437" s="48"/>
      <c r="C437" s="19">
        <f>+C429*B437</f>
        <v>0</v>
      </c>
      <c r="D437" s="18" t="s">
        <v>226</v>
      </c>
      <c r="E437" s="18" t="s">
        <v>228</v>
      </c>
      <c r="F437" s="18" t="s">
        <v>227</v>
      </c>
      <c r="G437" s="18">
        <v>0.5</v>
      </c>
      <c r="H437" s="123">
        <f t="shared" si="87"/>
        <v>0</v>
      </c>
      <c r="K437" s="112"/>
      <c r="L437" s="150"/>
      <c r="Q437" s="150"/>
    </row>
    <row r="438" spans="1:17" ht="12.75">
      <c r="A438" s="12" t="s">
        <v>166</v>
      </c>
      <c r="B438" s="48">
        <f>2.8*0.62</f>
        <v>1.736</v>
      </c>
      <c r="C438" s="19">
        <f>+C429*B438</f>
        <v>69842.12130448034</v>
      </c>
      <c r="D438" s="18" t="s">
        <v>226</v>
      </c>
      <c r="E438" s="18" t="s">
        <v>228</v>
      </c>
      <c r="F438" s="18" t="s">
        <v>227</v>
      </c>
      <c r="G438" s="18">
        <v>0.5</v>
      </c>
      <c r="H438" s="123">
        <f t="shared" si="87"/>
        <v>34921.06065224017</v>
      </c>
      <c r="K438" s="112"/>
      <c r="L438" s="150"/>
      <c r="Q438" s="150"/>
    </row>
    <row r="439" spans="1:17" ht="12.75">
      <c r="A439" s="12" t="s">
        <v>167</v>
      </c>
      <c r="B439" s="48">
        <f>2.8*0.62</f>
        <v>1.736</v>
      </c>
      <c r="C439" s="19">
        <f>+C429*B439</f>
        <v>69842.12130448034</v>
      </c>
      <c r="D439" s="18" t="s">
        <v>226</v>
      </c>
      <c r="E439" s="18" t="s">
        <v>228</v>
      </c>
      <c r="F439" s="18" t="s">
        <v>227</v>
      </c>
      <c r="G439" s="18">
        <v>0.5</v>
      </c>
      <c r="H439" s="123">
        <f t="shared" si="87"/>
        <v>34921.06065224017</v>
      </c>
      <c r="K439" s="112"/>
      <c r="L439" s="150"/>
      <c r="Q439" s="150"/>
    </row>
    <row r="440" spans="1:17" ht="12.75">
      <c r="A440" s="12" t="s">
        <v>168</v>
      </c>
      <c r="B440" s="48">
        <f>1.8*0.62</f>
        <v>1.116</v>
      </c>
      <c r="C440" s="19">
        <f>+C429*B440</f>
        <v>44898.50655288022</v>
      </c>
      <c r="D440" s="18" t="s">
        <v>226</v>
      </c>
      <c r="E440" s="18" t="s">
        <v>228</v>
      </c>
      <c r="F440" s="18" t="s">
        <v>227</v>
      </c>
      <c r="G440" s="18">
        <v>0.5</v>
      </c>
      <c r="H440" s="123">
        <f t="shared" si="87"/>
        <v>22449.25327644011</v>
      </c>
      <c r="K440" s="112"/>
      <c r="L440" s="150"/>
      <c r="Q440" s="150"/>
    </row>
    <row r="441" spans="1:17" ht="12.75">
      <c r="A441" s="12" t="s">
        <v>169</v>
      </c>
      <c r="B441" s="48"/>
      <c r="C441" s="48">
        <f>+C429*B441</f>
        <v>0</v>
      </c>
      <c r="D441" s="18" t="s">
        <v>226</v>
      </c>
      <c r="E441" s="18" t="s">
        <v>228</v>
      </c>
      <c r="F441" s="18" t="s">
        <v>227</v>
      </c>
      <c r="G441" s="18">
        <v>0.5</v>
      </c>
      <c r="H441" s="123">
        <f t="shared" si="87"/>
        <v>0</v>
      </c>
      <c r="K441" s="112"/>
      <c r="L441" s="150"/>
      <c r="Q441" s="150"/>
    </row>
    <row r="442" spans="1:17" ht="13.5" thickBot="1">
      <c r="A442" s="12" t="s">
        <v>170</v>
      </c>
      <c r="B442" s="48">
        <f>4.6*0.62</f>
        <v>2.852</v>
      </c>
      <c r="C442" s="68">
        <f>+C429*B442</f>
        <v>114740.62785736055</v>
      </c>
      <c r="D442" s="18" t="s">
        <v>226</v>
      </c>
      <c r="E442" s="18" t="s">
        <v>228</v>
      </c>
      <c r="F442" s="18" t="s">
        <v>227</v>
      </c>
      <c r="G442" s="18">
        <v>0.5</v>
      </c>
      <c r="H442" s="121">
        <f t="shared" si="87"/>
        <v>57370.313928680276</v>
      </c>
      <c r="K442" s="112"/>
      <c r="L442" s="150"/>
      <c r="Q442" s="150"/>
    </row>
    <row r="443" spans="1:17" ht="13.5" thickBot="1">
      <c r="A443" s="80"/>
      <c r="B443" s="112" t="s">
        <v>218</v>
      </c>
      <c r="C443" s="124">
        <f>SUM(C430:C442)</f>
        <v>1173476.3791526975</v>
      </c>
      <c r="D443" s="137"/>
      <c r="E443" s="137"/>
      <c r="F443" s="137"/>
      <c r="G443" s="138"/>
      <c r="H443" s="114">
        <f>SUM(H430:H442)</f>
        <v>586738.1895763488</v>
      </c>
      <c r="K443" s="112"/>
      <c r="L443" s="150"/>
      <c r="Q443" s="150"/>
    </row>
    <row r="444" spans="11:17" ht="12.75">
      <c r="K444" s="112"/>
      <c r="L444" s="150"/>
      <c r="Q444" s="150"/>
    </row>
    <row r="445" spans="11:17" ht="12.75">
      <c r="K445" s="112"/>
      <c r="L445" s="150"/>
      <c r="Q445" s="150"/>
    </row>
    <row r="446" spans="1:17" ht="12.75">
      <c r="A446" s="4" t="s">
        <v>157</v>
      </c>
      <c r="K446" s="112"/>
      <c r="L446" s="150"/>
      <c r="Q446" s="150"/>
    </row>
    <row r="447" spans="1:17" ht="12.75">
      <c r="A447" s="1" t="s">
        <v>153</v>
      </c>
      <c r="B447" s="2" t="s">
        <v>238</v>
      </c>
      <c r="C447" s="36" t="s">
        <v>239</v>
      </c>
      <c r="D447" s="2" t="s">
        <v>219</v>
      </c>
      <c r="E447" s="2" t="s">
        <v>220</v>
      </c>
      <c r="F447" s="36" t="s">
        <v>221</v>
      </c>
      <c r="G447" s="34" t="s">
        <v>221</v>
      </c>
      <c r="H447" s="34" t="s">
        <v>220</v>
      </c>
      <c r="K447" s="112"/>
      <c r="L447" s="150"/>
      <c r="Q447" s="150"/>
    </row>
    <row r="448" spans="1:17" ht="12.75">
      <c r="A448" s="5"/>
      <c r="B448" s="6" t="s">
        <v>240</v>
      </c>
      <c r="C448" s="37" t="s">
        <v>241</v>
      </c>
      <c r="D448" s="6" t="s">
        <v>222</v>
      </c>
      <c r="E448" s="6" t="s">
        <v>223</v>
      </c>
      <c r="F448" s="37" t="s">
        <v>224</v>
      </c>
      <c r="G448" s="120" t="s">
        <v>225</v>
      </c>
      <c r="H448" s="120" t="s">
        <v>200</v>
      </c>
      <c r="K448" s="112"/>
      <c r="L448" s="150"/>
      <c r="Q448" s="150"/>
    </row>
    <row r="449" spans="1:17" ht="12.75">
      <c r="A449" s="46"/>
      <c r="B449" s="10" t="s">
        <v>242</v>
      </c>
      <c r="C449" s="47">
        <f>(45+35+90)*5*5280/3.281*1.2</f>
        <v>1641450.7772020726</v>
      </c>
      <c r="D449" s="10"/>
      <c r="E449" s="10"/>
      <c r="F449" s="38"/>
      <c r="G449" s="56"/>
      <c r="H449" s="56"/>
      <c r="K449" s="112"/>
      <c r="L449" s="150"/>
      <c r="Q449" s="150"/>
    </row>
    <row r="450" spans="1:17" ht="12.75">
      <c r="A450" s="12" t="s">
        <v>158</v>
      </c>
      <c r="B450" s="48">
        <v>1.55</v>
      </c>
      <c r="C450" s="19">
        <f>+C449*B450</f>
        <v>2544248.7046632124</v>
      </c>
      <c r="D450" s="18" t="s">
        <v>226</v>
      </c>
      <c r="E450" s="18" t="s">
        <v>228</v>
      </c>
      <c r="F450" s="18" t="s">
        <v>227</v>
      </c>
      <c r="G450" s="18">
        <v>0.5</v>
      </c>
      <c r="H450" s="123">
        <f>G450*C450</f>
        <v>1272124.3523316062</v>
      </c>
      <c r="K450" s="112"/>
      <c r="L450" s="150"/>
      <c r="Q450" s="150"/>
    </row>
    <row r="451" spans="1:17" ht="12.75">
      <c r="A451" s="12" t="s">
        <v>159</v>
      </c>
      <c r="B451" s="48"/>
      <c r="C451" s="19">
        <f>+C449*B451</f>
        <v>0</v>
      </c>
      <c r="D451" s="18" t="s">
        <v>226</v>
      </c>
      <c r="E451" s="18" t="s">
        <v>228</v>
      </c>
      <c r="F451" s="18" t="s">
        <v>227</v>
      </c>
      <c r="G451" s="18">
        <v>0.5</v>
      </c>
      <c r="H451" s="123">
        <f aca="true" t="shared" si="88" ref="H451:H462">G451*C451</f>
        <v>0</v>
      </c>
      <c r="K451" s="112"/>
      <c r="L451" s="150"/>
      <c r="Q451" s="150"/>
    </row>
    <row r="452" spans="1:17" ht="12.75">
      <c r="A452" s="12" t="s">
        <v>160</v>
      </c>
      <c r="B452" s="48"/>
      <c r="C452" s="19">
        <f>+C449*B452</f>
        <v>0</v>
      </c>
      <c r="D452" s="18" t="s">
        <v>226</v>
      </c>
      <c r="E452" s="18" t="s">
        <v>228</v>
      </c>
      <c r="F452" s="18" t="s">
        <v>227</v>
      </c>
      <c r="G452" s="18">
        <v>0.5</v>
      </c>
      <c r="H452" s="123">
        <f t="shared" si="88"/>
        <v>0</v>
      </c>
      <c r="K452" s="112"/>
      <c r="L452" s="150"/>
      <c r="Q452" s="150"/>
    </row>
    <row r="453" spans="1:17" ht="12.75">
      <c r="A453" s="12" t="s">
        <v>161</v>
      </c>
      <c r="B453" s="48"/>
      <c r="C453" s="19">
        <f>+C449*B453</f>
        <v>0</v>
      </c>
      <c r="D453" s="18" t="s">
        <v>226</v>
      </c>
      <c r="E453" s="18" t="s">
        <v>228</v>
      </c>
      <c r="F453" s="18" t="s">
        <v>227</v>
      </c>
      <c r="G453" s="18">
        <v>0.5</v>
      </c>
      <c r="H453" s="123">
        <f t="shared" si="88"/>
        <v>0</v>
      </c>
      <c r="K453" s="112"/>
      <c r="L453" s="150"/>
      <c r="Q453" s="150"/>
    </row>
    <row r="454" spans="1:17" ht="12.75">
      <c r="A454" s="12" t="s">
        <v>162</v>
      </c>
      <c r="B454" s="48"/>
      <c r="C454" s="19">
        <f>+C449*B454</f>
        <v>0</v>
      </c>
      <c r="D454" s="18" t="s">
        <v>226</v>
      </c>
      <c r="E454" s="18" t="s">
        <v>228</v>
      </c>
      <c r="F454" s="18" t="s">
        <v>227</v>
      </c>
      <c r="G454" s="18">
        <v>0.5</v>
      </c>
      <c r="H454" s="123">
        <f t="shared" si="88"/>
        <v>0</v>
      </c>
      <c r="K454" s="112"/>
      <c r="L454" s="150"/>
      <c r="Q454" s="150"/>
    </row>
    <row r="455" spans="1:17" ht="12.75">
      <c r="A455" s="12" t="s">
        <v>163</v>
      </c>
      <c r="B455" s="48"/>
      <c r="C455" s="19">
        <f>+C449*B455</f>
        <v>0</v>
      </c>
      <c r="D455" s="18" t="s">
        <v>226</v>
      </c>
      <c r="E455" s="18" t="s">
        <v>228</v>
      </c>
      <c r="F455" s="18" t="s">
        <v>227</v>
      </c>
      <c r="G455" s="18">
        <v>0.5</v>
      </c>
      <c r="H455" s="123">
        <f t="shared" si="88"/>
        <v>0</v>
      </c>
      <c r="K455" s="112"/>
      <c r="L455" s="150"/>
      <c r="Q455" s="150"/>
    </row>
    <row r="456" spans="1:17" ht="12.75">
      <c r="A456" s="12" t="s">
        <v>164</v>
      </c>
      <c r="B456" s="48"/>
      <c r="C456" s="19">
        <f>+C449*B456</f>
        <v>0</v>
      </c>
      <c r="D456" s="18" t="s">
        <v>226</v>
      </c>
      <c r="E456" s="18" t="s">
        <v>228</v>
      </c>
      <c r="F456" s="18" t="s">
        <v>227</v>
      </c>
      <c r="G456" s="18">
        <v>0.5</v>
      </c>
      <c r="H456" s="123">
        <f t="shared" si="88"/>
        <v>0</v>
      </c>
      <c r="K456" s="112"/>
      <c r="L456" s="150"/>
      <c r="Q456" s="150"/>
    </row>
    <row r="457" spans="1:17" ht="12.75">
      <c r="A457" s="12" t="s">
        <v>165</v>
      </c>
      <c r="B457" s="48"/>
      <c r="C457" s="19">
        <f>+C449*B457</f>
        <v>0</v>
      </c>
      <c r="D457" s="18" t="s">
        <v>226</v>
      </c>
      <c r="E457" s="18" t="s">
        <v>228</v>
      </c>
      <c r="F457" s="18" t="s">
        <v>227</v>
      </c>
      <c r="G457" s="18">
        <v>0.5</v>
      </c>
      <c r="H457" s="123">
        <f t="shared" si="88"/>
        <v>0</v>
      </c>
      <c r="K457" s="112"/>
      <c r="L457" s="150"/>
      <c r="Q457" s="150"/>
    </row>
    <row r="458" spans="1:17" ht="12.75">
      <c r="A458" s="12" t="s">
        <v>166</v>
      </c>
      <c r="B458" s="48"/>
      <c r="C458" s="19">
        <f>+C449*B458</f>
        <v>0</v>
      </c>
      <c r="D458" s="18" t="s">
        <v>226</v>
      </c>
      <c r="E458" s="18" t="s">
        <v>228</v>
      </c>
      <c r="F458" s="18" t="s">
        <v>227</v>
      </c>
      <c r="G458" s="18">
        <v>0.5</v>
      </c>
      <c r="H458" s="123">
        <f t="shared" si="88"/>
        <v>0</v>
      </c>
      <c r="K458" s="112"/>
      <c r="L458" s="150"/>
      <c r="Q458" s="150"/>
    </row>
    <row r="459" spans="1:17" ht="12.75">
      <c r="A459" s="12" t="s">
        <v>167</v>
      </c>
      <c r="B459" s="48"/>
      <c r="C459" s="19">
        <f>+C449*B459</f>
        <v>0</v>
      </c>
      <c r="D459" s="18" t="s">
        <v>226</v>
      </c>
      <c r="E459" s="18" t="s">
        <v>228</v>
      </c>
      <c r="F459" s="18" t="s">
        <v>227</v>
      </c>
      <c r="G459" s="18">
        <v>0.5</v>
      </c>
      <c r="H459" s="123">
        <f t="shared" si="88"/>
        <v>0</v>
      </c>
      <c r="K459" s="112"/>
      <c r="L459" s="150"/>
      <c r="Q459" s="150"/>
    </row>
    <row r="460" spans="1:17" ht="12.75">
      <c r="A460" s="12" t="s">
        <v>168</v>
      </c>
      <c r="B460" s="48"/>
      <c r="C460" s="19">
        <f>+C449*B460</f>
        <v>0</v>
      </c>
      <c r="D460" s="18" t="s">
        <v>226</v>
      </c>
      <c r="E460" s="18" t="s">
        <v>228</v>
      </c>
      <c r="F460" s="18" t="s">
        <v>227</v>
      </c>
      <c r="G460" s="18">
        <v>0.5</v>
      </c>
      <c r="H460" s="123">
        <f t="shared" si="88"/>
        <v>0</v>
      </c>
      <c r="K460" s="112"/>
      <c r="L460" s="150"/>
      <c r="Q460" s="150"/>
    </row>
    <row r="461" spans="1:17" ht="12.75">
      <c r="A461" s="12" t="s">
        <v>169</v>
      </c>
      <c r="B461" s="48">
        <f>0.62*0.2</f>
        <v>0.124</v>
      </c>
      <c r="C461" s="48">
        <f>+C449*B461</f>
        <v>203539.89637305698</v>
      </c>
      <c r="D461" s="18" t="s">
        <v>226</v>
      </c>
      <c r="E461" s="18" t="s">
        <v>228</v>
      </c>
      <c r="F461" s="18" t="s">
        <v>227</v>
      </c>
      <c r="G461" s="18">
        <v>0.5</v>
      </c>
      <c r="H461" s="123">
        <f t="shared" si="88"/>
        <v>101769.94818652849</v>
      </c>
      <c r="K461" s="112"/>
      <c r="L461" s="150"/>
      <c r="Q461" s="150"/>
    </row>
    <row r="462" spans="1:17" ht="13.5" thickBot="1">
      <c r="A462" s="12" t="s">
        <v>170</v>
      </c>
      <c r="B462" s="48"/>
      <c r="C462" s="68">
        <f>+C449*B462</f>
        <v>0</v>
      </c>
      <c r="D462" s="18" t="s">
        <v>226</v>
      </c>
      <c r="E462" s="18" t="s">
        <v>228</v>
      </c>
      <c r="F462" s="18" t="s">
        <v>227</v>
      </c>
      <c r="G462" s="18">
        <v>0.5</v>
      </c>
      <c r="H462" s="121">
        <f t="shared" si="88"/>
        <v>0</v>
      </c>
      <c r="K462" s="112"/>
      <c r="L462" s="150"/>
      <c r="Q462" s="150"/>
    </row>
    <row r="463" spans="1:17" ht="13.5" thickBot="1">
      <c r="A463" s="80"/>
      <c r="B463" s="112" t="s">
        <v>218</v>
      </c>
      <c r="C463" s="124">
        <f>SUM(C450:C462)</f>
        <v>2747788.601036269</v>
      </c>
      <c r="D463" s="137"/>
      <c r="E463" s="137"/>
      <c r="F463" s="137"/>
      <c r="G463" s="138"/>
      <c r="H463" s="114">
        <f>SUM(H450:H462)</f>
        <v>1373894.3005181346</v>
      </c>
      <c r="K463" s="112"/>
      <c r="L463" s="150"/>
      <c r="Q463" s="150"/>
    </row>
    <row r="464" spans="11:17" ht="12.75">
      <c r="K464" s="112"/>
      <c r="L464" s="150"/>
      <c r="Q464" s="150"/>
    </row>
    <row r="465" spans="11:17" ht="12.75">
      <c r="K465" s="112"/>
      <c r="L465" s="150"/>
      <c r="Q465" s="150"/>
    </row>
    <row r="466" ht="12.75">
      <c r="A466" s="17" t="s">
        <v>174</v>
      </c>
    </row>
    <row r="467" spans="1:13" ht="12.75">
      <c r="A467" s="4" t="s">
        <v>154</v>
      </c>
      <c r="G467" s="112"/>
      <c r="H467" s="150"/>
      <c r="M467" s="150"/>
    </row>
    <row r="468" spans="1:8" ht="12.75">
      <c r="A468" s="41">
        <v>1</v>
      </c>
      <c r="B468" s="41">
        <v>2</v>
      </c>
      <c r="C468" s="20">
        <v>3</v>
      </c>
      <c r="D468" s="41">
        <v>4</v>
      </c>
      <c r="E468" s="18">
        <v>5</v>
      </c>
      <c r="F468" s="42">
        <v>6</v>
      </c>
      <c r="G468" s="18">
        <v>7</v>
      </c>
      <c r="H468" s="117">
        <v>8</v>
      </c>
    </row>
    <row r="469" spans="1:8" ht="12.75">
      <c r="A469" s="6" t="s">
        <v>153</v>
      </c>
      <c r="B469" s="61" t="s">
        <v>245</v>
      </c>
      <c r="C469" s="37" t="s">
        <v>239</v>
      </c>
      <c r="D469" s="6" t="s">
        <v>219</v>
      </c>
      <c r="E469" s="37" t="s">
        <v>220</v>
      </c>
      <c r="F469" s="32" t="s">
        <v>221</v>
      </c>
      <c r="G469" s="37" t="s">
        <v>221</v>
      </c>
      <c r="H469" s="120" t="s">
        <v>220</v>
      </c>
    </row>
    <row r="470" spans="1:8" ht="12.75">
      <c r="A470" s="6"/>
      <c r="B470" s="6" t="s">
        <v>246</v>
      </c>
      <c r="C470" s="37" t="s">
        <v>247</v>
      </c>
      <c r="D470" s="6" t="s">
        <v>222</v>
      </c>
      <c r="E470" s="37" t="s">
        <v>223</v>
      </c>
      <c r="F470" s="32" t="s">
        <v>224</v>
      </c>
      <c r="G470" s="37" t="s">
        <v>225</v>
      </c>
      <c r="H470" s="120" t="s">
        <v>200</v>
      </c>
    </row>
    <row r="471" spans="1:8" ht="12.75">
      <c r="A471" s="46"/>
      <c r="B471" s="118"/>
      <c r="C471" s="155">
        <v>35</v>
      </c>
      <c r="D471" s="10"/>
      <c r="E471" s="38"/>
      <c r="F471" s="35"/>
      <c r="G471" s="38"/>
      <c r="H471" s="56"/>
    </row>
    <row r="472" spans="1:8" ht="12.75">
      <c r="A472" s="46"/>
      <c r="B472" s="49"/>
      <c r="C472" s="31"/>
      <c r="D472" s="18"/>
      <c r="E472" s="18"/>
      <c r="F472" s="18"/>
      <c r="G472" s="18"/>
      <c r="H472" s="123"/>
    </row>
    <row r="473" spans="1:8" ht="12.75">
      <c r="A473" s="46" t="s">
        <v>22</v>
      </c>
      <c r="B473" s="49" t="s">
        <v>173</v>
      </c>
      <c r="C473" s="52">
        <f>+B473*C471</f>
        <v>18130000</v>
      </c>
      <c r="D473" s="18" t="s">
        <v>226</v>
      </c>
      <c r="E473" s="18" t="s">
        <v>228</v>
      </c>
      <c r="F473" s="18" t="s">
        <v>227</v>
      </c>
      <c r="G473" s="18">
        <v>0.5</v>
      </c>
      <c r="H473" s="123">
        <f>C473*G473</f>
        <v>9065000</v>
      </c>
    </row>
    <row r="474" spans="1:8" ht="12.75">
      <c r="A474" s="46"/>
      <c r="B474" s="49"/>
      <c r="C474" s="50"/>
      <c r="D474" s="18"/>
      <c r="E474" s="18"/>
      <c r="F474" s="18"/>
      <c r="G474" s="18"/>
      <c r="H474" s="123"/>
    </row>
    <row r="475" spans="1:8" ht="12.75">
      <c r="A475" s="12" t="s">
        <v>101</v>
      </c>
      <c r="B475" s="14">
        <f>600*250</f>
        <v>150000</v>
      </c>
      <c r="C475" s="54">
        <f>B475*C471</f>
        <v>5250000</v>
      </c>
      <c r="D475" s="18" t="s">
        <v>226</v>
      </c>
      <c r="E475" s="18" t="s">
        <v>228</v>
      </c>
      <c r="F475" s="18" t="s">
        <v>227</v>
      </c>
      <c r="G475" s="18">
        <v>0.5</v>
      </c>
      <c r="H475" s="123">
        <f>C475*G475</f>
        <v>2625000</v>
      </c>
    </row>
    <row r="476" spans="1:8" ht="13.5" thickBot="1">
      <c r="A476" s="12"/>
      <c r="B476" s="12"/>
      <c r="C476" s="19"/>
      <c r="D476" s="18"/>
      <c r="E476" s="18"/>
      <c r="F476" s="18"/>
      <c r="G476" s="18"/>
      <c r="H476" s="123"/>
    </row>
    <row r="477" spans="2:8" ht="13.5" thickBot="1">
      <c r="B477" s="112" t="s">
        <v>218</v>
      </c>
      <c r="C477" s="124">
        <f>SUM(C473:C475)</f>
        <v>23380000</v>
      </c>
      <c r="G477" s="24"/>
      <c r="H477" s="124">
        <f>SUM(H473:H475)</f>
        <v>11690000</v>
      </c>
    </row>
    <row r="478" spans="7:13" ht="12.75">
      <c r="G478" s="112"/>
      <c r="H478" s="150"/>
      <c r="M478" s="150"/>
    </row>
    <row r="479" spans="7:13" ht="12.75">
      <c r="G479" s="112"/>
      <c r="H479" s="150"/>
      <c r="M479" s="150"/>
    </row>
    <row r="480" spans="1:13" ht="12.75">
      <c r="A480" s="4" t="s">
        <v>172</v>
      </c>
      <c r="G480" s="112"/>
      <c r="H480" s="150"/>
      <c r="M480" s="150"/>
    </row>
    <row r="481" spans="1:13" ht="12.75">
      <c r="A481" s="41">
        <v>1</v>
      </c>
      <c r="B481" s="41">
        <v>2</v>
      </c>
      <c r="C481" s="20">
        <v>3</v>
      </c>
      <c r="D481" s="41">
        <v>4</v>
      </c>
      <c r="E481" s="18">
        <v>5</v>
      </c>
      <c r="F481" s="42">
        <v>6</v>
      </c>
      <c r="G481" s="18">
        <v>7</v>
      </c>
      <c r="H481" s="117">
        <v>8</v>
      </c>
      <c r="M481" s="150"/>
    </row>
    <row r="482" spans="1:13" ht="12.75">
      <c r="A482" s="6" t="s">
        <v>153</v>
      </c>
      <c r="B482" s="28" t="s">
        <v>245</v>
      </c>
      <c r="C482" s="120" t="s">
        <v>239</v>
      </c>
      <c r="D482" s="6" t="s">
        <v>219</v>
      </c>
      <c r="E482" s="37" t="s">
        <v>220</v>
      </c>
      <c r="F482" s="32" t="s">
        <v>221</v>
      </c>
      <c r="G482" s="37" t="s">
        <v>221</v>
      </c>
      <c r="H482" s="120" t="s">
        <v>220</v>
      </c>
      <c r="M482" s="150"/>
    </row>
    <row r="483" spans="1:13" ht="12.75">
      <c r="A483" s="6"/>
      <c r="B483" s="37" t="s">
        <v>246</v>
      </c>
      <c r="C483" s="120" t="s">
        <v>247</v>
      </c>
      <c r="D483" s="6" t="s">
        <v>222</v>
      </c>
      <c r="E483" s="37" t="s">
        <v>223</v>
      </c>
      <c r="F483" s="32" t="s">
        <v>224</v>
      </c>
      <c r="G483" s="37" t="s">
        <v>225</v>
      </c>
      <c r="H483" s="120" t="s">
        <v>200</v>
      </c>
      <c r="M483" s="150"/>
    </row>
    <row r="484" spans="1:13" ht="12.75">
      <c r="A484" s="46"/>
      <c r="B484" s="156"/>
      <c r="C484" s="60">
        <v>35.32</v>
      </c>
      <c r="D484" s="10"/>
      <c r="E484" s="38"/>
      <c r="F484" s="35"/>
      <c r="G484" s="38"/>
      <c r="H484" s="56"/>
      <c r="M484" s="150"/>
    </row>
    <row r="485" spans="1:13" ht="12.75">
      <c r="A485" s="46"/>
      <c r="B485" s="49"/>
      <c r="C485" s="51"/>
      <c r="D485" s="18"/>
      <c r="E485" s="18"/>
      <c r="F485" s="18"/>
      <c r="G485" s="18"/>
      <c r="H485" s="123"/>
      <c r="M485" s="150"/>
    </row>
    <row r="486" spans="1:13" ht="12.75">
      <c r="A486" s="46" t="s">
        <v>22</v>
      </c>
      <c r="B486" s="31"/>
      <c r="C486" s="51"/>
      <c r="D486" s="18" t="s">
        <v>226</v>
      </c>
      <c r="E486" s="18" t="s">
        <v>243</v>
      </c>
      <c r="F486" s="18" t="s">
        <v>227</v>
      </c>
      <c r="G486" s="18">
        <v>0.5</v>
      </c>
      <c r="H486" s="123">
        <f>C486*G486</f>
        <v>0</v>
      </c>
      <c r="M486" s="150"/>
    </row>
    <row r="487" spans="1:13" ht="12.75">
      <c r="A487" s="46"/>
      <c r="B487" s="31"/>
      <c r="C487" s="51"/>
      <c r="D487" s="18"/>
      <c r="E487" s="18"/>
      <c r="F487" s="18"/>
      <c r="G487" s="18"/>
      <c r="H487" s="123"/>
      <c r="M487" s="150"/>
    </row>
    <row r="488" spans="1:13" ht="12.75">
      <c r="A488" s="12" t="s">
        <v>101</v>
      </c>
      <c r="B488" s="21">
        <v>36000</v>
      </c>
      <c r="C488" s="55">
        <f>468000*2.7169</f>
        <v>1271509.2</v>
      </c>
      <c r="D488" s="18" t="s">
        <v>226</v>
      </c>
      <c r="E488" s="18" t="s">
        <v>243</v>
      </c>
      <c r="F488" s="18" t="s">
        <v>227</v>
      </c>
      <c r="G488" s="18">
        <v>0.5</v>
      </c>
      <c r="H488" s="123">
        <f>C488*G488</f>
        <v>635754.6</v>
      </c>
      <c r="M488" s="150"/>
    </row>
    <row r="489" spans="1:13" ht="13.5" thickBot="1">
      <c r="A489" s="12"/>
      <c r="B489" s="12"/>
      <c r="C489" s="19"/>
      <c r="D489" s="18"/>
      <c r="E489" s="18"/>
      <c r="F489" s="18"/>
      <c r="G489" s="18"/>
      <c r="H489" s="123"/>
      <c r="M489" s="150"/>
    </row>
    <row r="490" spans="2:13" ht="13.5" thickBot="1">
      <c r="B490" s="112" t="s">
        <v>218</v>
      </c>
      <c r="C490" s="124">
        <f>SUM(C486:C488)</f>
        <v>1271509.2</v>
      </c>
      <c r="G490" s="24"/>
      <c r="H490" s="124">
        <f>SUM(H486:H488)</f>
        <v>635754.6</v>
      </c>
      <c r="M490" s="150"/>
    </row>
    <row r="491" spans="7:13" ht="12.75">
      <c r="G491" s="112"/>
      <c r="H491" s="150"/>
      <c r="M491" s="150"/>
    </row>
    <row r="493" ht="12.75">
      <c r="A493" s="17" t="s">
        <v>188</v>
      </c>
    </row>
    <row r="494" spans="1:13" ht="12.75">
      <c r="A494" s="20">
        <v>1</v>
      </c>
      <c r="B494" s="20">
        <v>2</v>
      </c>
      <c r="C494" s="20">
        <v>3</v>
      </c>
      <c r="D494" s="20">
        <v>4</v>
      </c>
      <c r="E494" s="28">
        <v>5</v>
      </c>
      <c r="F494" s="28">
        <v>6</v>
      </c>
      <c r="G494" s="28">
        <v>7</v>
      </c>
      <c r="H494" s="28">
        <v>8</v>
      </c>
      <c r="I494" s="28">
        <v>9</v>
      </c>
      <c r="J494" s="28">
        <v>10</v>
      </c>
      <c r="K494" s="101">
        <v>11</v>
      </c>
      <c r="L494" s="102">
        <v>12</v>
      </c>
      <c r="M494" s="6"/>
    </row>
    <row r="495" spans="1:13" ht="12.75">
      <c r="A495" s="37" t="s">
        <v>175</v>
      </c>
      <c r="B495" s="37" t="s">
        <v>14</v>
      </c>
      <c r="C495" s="37" t="s">
        <v>176</v>
      </c>
      <c r="D495" s="37" t="s">
        <v>177</v>
      </c>
      <c r="E495" s="101" t="s">
        <v>179</v>
      </c>
      <c r="F495" s="2" t="s">
        <v>229</v>
      </c>
      <c r="G495" s="36" t="s">
        <v>212</v>
      </c>
      <c r="H495" s="2" t="s">
        <v>230</v>
      </c>
      <c r="I495" s="36" t="s">
        <v>213</v>
      </c>
      <c r="J495" s="103" t="s">
        <v>214</v>
      </c>
      <c r="K495" s="101" t="s">
        <v>215</v>
      </c>
      <c r="L495" s="102" t="s">
        <v>216</v>
      </c>
      <c r="M495" s="6"/>
    </row>
    <row r="496" spans="1:13" ht="12.75">
      <c r="A496" s="37"/>
      <c r="B496" s="37" t="s">
        <v>18</v>
      </c>
      <c r="C496" s="37" t="s">
        <v>178</v>
      </c>
      <c r="D496" s="37" t="s">
        <v>179</v>
      </c>
      <c r="E496" s="104" t="s">
        <v>176</v>
      </c>
      <c r="F496" s="6" t="s">
        <v>230</v>
      </c>
      <c r="G496" s="37" t="s">
        <v>230</v>
      </c>
      <c r="H496" s="6" t="s">
        <v>231</v>
      </c>
      <c r="I496" s="37"/>
      <c r="J496" s="37"/>
      <c r="K496" s="104"/>
      <c r="L496" s="105" t="s">
        <v>217</v>
      </c>
      <c r="M496" s="5"/>
    </row>
    <row r="497" spans="1:13" ht="12.75">
      <c r="A497" s="38"/>
      <c r="B497" s="38"/>
      <c r="C497" s="38"/>
      <c r="D497" s="38" t="s">
        <v>180</v>
      </c>
      <c r="E497" s="106" t="s">
        <v>178</v>
      </c>
      <c r="F497" s="10"/>
      <c r="G497" s="38"/>
      <c r="H497" s="10" t="s">
        <v>232</v>
      </c>
      <c r="I497" s="38"/>
      <c r="J497" s="38"/>
      <c r="K497" s="104"/>
      <c r="L497" s="105"/>
      <c r="M497" s="5"/>
    </row>
    <row r="498" spans="1:13" ht="12.75">
      <c r="A498" s="19" t="s">
        <v>22</v>
      </c>
      <c r="B498" s="18">
        <v>1998</v>
      </c>
      <c r="C498" s="18">
        <v>7</v>
      </c>
      <c r="D498" s="18">
        <v>12</v>
      </c>
      <c r="E498" s="125">
        <f aca="true" t="shared" si="89" ref="E498:E503">1.982*D498</f>
        <v>23.784</v>
      </c>
      <c r="F498" s="52">
        <f aca="true" t="shared" si="90" ref="F498:F503">10.235*(1/12)*E498^3+E498^2*(1/12)*(8.641+0.000905*120^2)+0.032*E498*120^2</f>
        <v>23456.557102149116</v>
      </c>
      <c r="G498" s="52">
        <f aca="true" t="shared" si="91" ref="G498:G503">1.5*F498</f>
        <v>35184.83565322367</v>
      </c>
      <c r="H498" s="52">
        <f aca="true" t="shared" si="92" ref="H498:H503">10.235*(1/12)*E498^3+E498^2*(1/12)*(8.641+0.000905*113^2)+0.032*E498*113^2</f>
        <v>22145.64150676728</v>
      </c>
      <c r="I498" s="107">
        <f aca="true" t="shared" si="93" ref="I498:I503">(H498-G498)/(G498*0.25)</f>
        <v>-1.4823652183535754</v>
      </c>
      <c r="J498" s="108">
        <f aca="true" t="shared" si="94" ref="J498:J503">NORMDIST(H498,G498,G498*0.25,TRUE)</f>
        <v>0.06912160415811508</v>
      </c>
      <c r="K498" s="109">
        <v>30000000</v>
      </c>
      <c r="L498" s="110">
        <f aca="true" t="shared" si="95" ref="L498:L503">J498*K498</f>
        <v>2073648.1247434523</v>
      </c>
      <c r="M498" s="111"/>
    </row>
    <row r="499" spans="1:13" ht="12.75">
      <c r="A499" s="19" t="s">
        <v>101</v>
      </c>
      <c r="B499" s="18">
        <v>1990</v>
      </c>
      <c r="C499" s="18">
        <v>5</v>
      </c>
      <c r="D499" s="18">
        <v>12</v>
      </c>
      <c r="E499" s="125">
        <f t="shared" si="89"/>
        <v>23.784</v>
      </c>
      <c r="F499" s="52">
        <f t="shared" si="90"/>
        <v>23456.557102149116</v>
      </c>
      <c r="G499" s="52">
        <f t="shared" si="91"/>
        <v>35184.83565322367</v>
      </c>
      <c r="H499" s="52">
        <f t="shared" si="92"/>
        <v>22145.64150676728</v>
      </c>
      <c r="I499" s="107">
        <f t="shared" si="93"/>
        <v>-1.4823652183535754</v>
      </c>
      <c r="J499" s="108">
        <f t="shared" si="94"/>
        <v>0.06912160415811508</v>
      </c>
      <c r="K499" s="109">
        <v>28000000</v>
      </c>
      <c r="L499" s="110">
        <f t="shared" si="95"/>
        <v>1935404.9164272223</v>
      </c>
      <c r="M499" s="111"/>
    </row>
    <row r="500" spans="1:13" ht="12.75">
      <c r="A500" s="19" t="s">
        <v>22</v>
      </c>
      <c r="B500" s="18">
        <v>1979</v>
      </c>
      <c r="C500" s="18">
        <v>5</v>
      </c>
      <c r="D500" s="18">
        <v>12</v>
      </c>
      <c r="E500" s="125">
        <f t="shared" si="89"/>
        <v>23.784</v>
      </c>
      <c r="F500" s="52">
        <f t="shared" si="90"/>
        <v>23456.557102149116</v>
      </c>
      <c r="G500" s="52">
        <f t="shared" si="91"/>
        <v>35184.83565322367</v>
      </c>
      <c r="H500" s="52">
        <f t="shared" si="92"/>
        <v>22145.64150676728</v>
      </c>
      <c r="I500" s="107">
        <f t="shared" si="93"/>
        <v>-1.4823652183535754</v>
      </c>
      <c r="J500" s="108">
        <f t="shared" si="94"/>
        <v>0.06912160415811508</v>
      </c>
      <c r="K500" s="109">
        <v>52000000</v>
      </c>
      <c r="L500" s="110">
        <f t="shared" si="95"/>
        <v>3594323.416221984</v>
      </c>
      <c r="M500" s="111"/>
    </row>
    <row r="501" spans="1:13" ht="12.75">
      <c r="A501" s="19" t="s">
        <v>22</v>
      </c>
      <c r="B501" s="18">
        <v>1979</v>
      </c>
      <c r="C501" s="18">
        <v>5</v>
      </c>
      <c r="D501" s="18">
        <v>12</v>
      </c>
      <c r="E501" s="125">
        <f t="shared" si="89"/>
        <v>23.784</v>
      </c>
      <c r="F501" s="52">
        <f t="shared" si="90"/>
        <v>23456.557102149116</v>
      </c>
      <c r="G501" s="52">
        <f t="shared" si="91"/>
        <v>35184.83565322367</v>
      </c>
      <c r="H501" s="52">
        <f t="shared" si="92"/>
        <v>22145.64150676728</v>
      </c>
      <c r="I501" s="107">
        <f t="shared" si="93"/>
        <v>-1.4823652183535754</v>
      </c>
      <c r="J501" s="108">
        <f t="shared" si="94"/>
        <v>0.06912160415811508</v>
      </c>
      <c r="K501" s="109">
        <v>40000000</v>
      </c>
      <c r="L501" s="110">
        <f t="shared" si="95"/>
        <v>2764864.1663246034</v>
      </c>
      <c r="M501" s="111"/>
    </row>
    <row r="502" spans="1:13" ht="12.75">
      <c r="A502" s="19" t="s">
        <v>22</v>
      </c>
      <c r="B502" s="18">
        <v>1895</v>
      </c>
      <c r="C502" s="18">
        <v>4</v>
      </c>
      <c r="D502" s="18">
        <v>12</v>
      </c>
      <c r="E502" s="125">
        <f t="shared" si="89"/>
        <v>23.784</v>
      </c>
      <c r="F502" s="52">
        <f t="shared" si="90"/>
        <v>23456.557102149116</v>
      </c>
      <c r="G502" s="52">
        <f t="shared" si="91"/>
        <v>35184.83565322367</v>
      </c>
      <c r="H502" s="52">
        <f t="shared" si="92"/>
        <v>22145.64150676728</v>
      </c>
      <c r="I502" s="107">
        <f t="shared" si="93"/>
        <v>-1.4823652183535754</v>
      </c>
      <c r="J502" s="108">
        <f t="shared" si="94"/>
        <v>0.06912160415811508</v>
      </c>
      <c r="K502" s="109">
        <v>35000000</v>
      </c>
      <c r="L502" s="110">
        <f t="shared" si="95"/>
        <v>2419256.145534028</v>
      </c>
      <c r="M502" s="111"/>
    </row>
    <row r="503" spans="1:13" ht="13.5" thickBot="1">
      <c r="A503" s="19" t="s">
        <v>101</v>
      </c>
      <c r="B503" s="18" t="s">
        <v>181</v>
      </c>
      <c r="C503" s="18">
        <v>5</v>
      </c>
      <c r="D503" s="18">
        <v>12</v>
      </c>
      <c r="E503" s="125">
        <f t="shared" si="89"/>
        <v>23.784</v>
      </c>
      <c r="F503" s="52">
        <f t="shared" si="90"/>
        <v>23456.557102149116</v>
      </c>
      <c r="G503" s="52">
        <f t="shared" si="91"/>
        <v>35184.83565322367</v>
      </c>
      <c r="H503" s="52">
        <f t="shared" si="92"/>
        <v>22145.64150676728</v>
      </c>
      <c r="I503" s="107">
        <f t="shared" si="93"/>
        <v>-1.4823652183535754</v>
      </c>
      <c r="J503" s="108">
        <f t="shared" si="94"/>
        <v>0.06912160415811508</v>
      </c>
      <c r="K503" s="126">
        <f>500*32*500*2</f>
        <v>16000000</v>
      </c>
      <c r="L503" s="127">
        <f t="shared" si="95"/>
        <v>1105945.6665298413</v>
      </c>
      <c r="M503" s="111"/>
    </row>
    <row r="504" spans="1:13" ht="13.5" thickBot="1">
      <c r="A504" s="58"/>
      <c r="B504" s="58"/>
      <c r="C504" s="58"/>
      <c r="D504" s="58"/>
      <c r="E504" s="58"/>
      <c r="F504" s="58"/>
      <c r="G504" s="58"/>
      <c r="H504" s="58"/>
      <c r="I504" s="58"/>
      <c r="J504" s="112" t="s">
        <v>218</v>
      </c>
      <c r="K504" s="115">
        <f>SUM(K498:K503)</f>
        <v>201000000</v>
      </c>
      <c r="L504" s="115">
        <f>SUM(L498:L503)</f>
        <v>13893442.435781132</v>
      </c>
      <c r="M504" s="58"/>
    </row>
    <row r="505" spans="1:9" ht="12.75">
      <c r="A505" s="58"/>
      <c r="B505" s="59" t="s">
        <v>182</v>
      </c>
      <c r="C505" s="59"/>
      <c r="D505" s="59"/>
      <c r="E505" s="58"/>
      <c r="F505" s="58"/>
      <c r="G505" s="58"/>
      <c r="H505" s="58"/>
      <c r="I505" s="58"/>
    </row>
    <row r="506" spans="1:9" ht="12.75">
      <c r="A506" s="58"/>
      <c r="B506" s="59" t="s">
        <v>183</v>
      </c>
      <c r="C506" s="59"/>
      <c r="D506" s="59"/>
      <c r="E506" s="58"/>
      <c r="F506" s="58"/>
      <c r="G506" s="58"/>
      <c r="H506" s="58"/>
      <c r="I506" s="58"/>
    </row>
    <row r="507" spans="1:9" ht="12.75">
      <c r="A507" s="58"/>
      <c r="B507" s="59" t="s">
        <v>184</v>
      </c>
      <c r="C507" s="59"/>
      <c r="D507" s="59"/>
      <c r="E507" s="58"/>
      <c r="F507" s="58"/>
      <c r="G507" s="58"/>
      <c r="H507" s="58"/>
      <c r="I507" s="58"/>
    </row>
    <row r="508" spans="1:9" ht="12.75">
      <c r="A508" s="58"/>
      <c r="B508" s="59" t="s">
        <v>185</v>
      </c>
      <c r="C508" s="59"/>
      <c r="D508" s="59"/>
      <c r="E508" s="58"/>
      <c r="F508" s="58"/>
      <c r="G508" s="58"/>
      <c r="H508" s="58"/>
      <c r="I508" s="58"/>
    </row>
    <row r="509" spans="1:9" ht="12.75">
      <c r="A509" s="58"/>
      <c r="B509" s="59" t="s">
        <v>186</v>
      </c>
      <c r="C509" s="59"/>
      <c r="D509" s="59"/>
      <c r="E509" s="58"/>
      <c r="F509" s="58"/>
      <c r="G509" s="58"/>
      <c r="H509" s="58"/>
      <c r="I509" s="58"/>
    </row>
    <row r="510" spans="1:9" ht="12.75">
      <c r="A510" s="58"/>
      <c r="B510" s="59" t="s">
        <v>187</v>
      </c>
      <c r="C510" s="59"/>
      <c r="D510" s="59"/>
      <c r="E510" s="58"/>
      <c r="F510" s="58"/>
      <c r="G510" s="58"/>
      <c r="H510" s="58"/>
      <c r="I510" s="58"/>
    </row>
    <row r="514" spans="1:9" ht="12.75">
      <c r="A514" s="128" t="s">
        <v>233</v>
      </c>
      <c r="B514" s="58"/>
      <c r="C514" s="58"/>
      <c r="D514" s="58"/>
      <c r="E514" s="58"/>
      <c r="F514" s="58"/>
      <c r="G514" s="58"/>
      <c r="H514" s="58"/>
      <c r="I514" s="58"/>
    </row>
    <row r="515" spans="1:10" ht="12.75">
      <c r="A515" s="165"/>
      <c r="B515" s="166"/>
      <c r="C515" s="167"/>
      <c r="D515" s="129" t="s">
        <v>234</v>
      </c>
      <c r="E515" s="130" t="s">
        <v>17</v>
      </c>
      <c r="F515" s="129" t="s">
        <v>194</v>
      </c>
      <c r="G515" s="130" t="s">
        <v>196</v>
      </c>
      <c r="H515" s="129" t="s">
        <v>193</v>
      </c>
      <c r="I515" s="130" t="s">
        <v>194</v>
      </c>
      <c r="J515" s="28" t="s">
        <v>235</v>
      </c>
    </row>
    <row r="516" spans="1:10" ht="12.75">
      <c r="A516" s="160"/>
      <c r="B516" s="161" t="s">
        <v>248</v>
      </c>
      <c r="C516" s="162"/>
      <c r="D516" s="157" t="s">
        <v>239</v>
      </c>
      <c r="E516" s="158" t="s">
        <v>239</v>
      </c>
      <c r="F516" s="157" t="s">
        <v>239</v>
      </c>
      <c r="G516" s="163" t="s">
        <v>200</v>
      </c>
      <c r="H516" s="163" t="s">
        <v>200</v>
      </c>
      <c r="I516" s="158" t="s">
        <v>200</v>
      </c>
      <c r="J516" s="159"/>
    </row>
    <row r="517" spans="1:10" ht="12.75">
      <c r="A517" s="168" t="s">
        <v>249</v>
      </c>
      <c r="B517" s="169"/>
      <c r="C517" s="170"/>
      <c r="D517" s="131" t="s">
        <v>250</v>
      </c>
      <c r="E517" s="132" t="s">
        <v>250</v>
      </c>
      <c r="F517" s="131" t="s">
        <v>250</v>
      </c>
      <c r="G517" s="132" t="s">
        <v>251</v>
      </c>
      <c r="H517" s="132" t="s">
        <v>251</v>
      </c>
      <c r="I517" s="132" t="s">
        <v>251</v>
      </c>
      <c r="J517" s="29"/>
    </row>
    <row r="518" spans="1:10" ht="12.75">
      <c r="A518" s="133" t="s">
        <v>21</v>
      </c>
      <c r="B518" s="134"/>
      <c r="C518" s="135"/>
      <c r="D518" s="140">
        <f>L27</f>
        <v>43827520</v>
      </c>
      <c r="E518" s="141">
        <f>N27</f>
        <v>0</v>
      </c>
      <c r="F518" s="142">
        <f>P27</f>
        <v>0</v>
      </c>
      <c r="G518" s="140">
        <f>Q27</f>
        <v>15156608.276480002</v>
      </c>
      <c r="H518" s="142">
        <f>R27</f>
        <v>0</v>
      </c>
      <c r="I518" s="140">
        <f>S27</f>
        <v>0</v>
      </c>
      <c r="J518" s="143">
        <f>SUM(G518:I518)/SUM(D518:F518)*100</f>
        <v>34.58240000000001</v>
      </c>
    </row>
    <row r="519" spans="1:10" ht="12.75">
      <c r="A519" s="133" t="s">
        <v>57</v>
      </c>
      <c r="B519" s="134"/>
      <c r="C519" s="135"/>
      <c r="D519" s="140">
        <f>L62</f>
        <v>144221850</v>
      </c>
      <c r="E519" s="141">
        <f>N62</f>
        <v>18150000</v>
      </c>
      <c r="F519" s="141">
        <f>P62</f>
        <v>7100000</v>
      </c>
      <c r="G519" s="140">
        <f>Q62</f>
        <v>45152445.87232001</v>
      </c>
      <c r="H519" s="141">
        <f>R62</f>
        <v>2157488.85</v>
      </c>
      <c r="I519" s="140">
        <f>S62</f>
        <v>2617811.7</v>
      </c>
      <c r="J519" s="143">
        <f aca="true" t="shared" si="96" ref="J519:J534">SUM(G519:I519)/SUM(D519:F519)*100</f>
        <v>29.460790345016008</v>
      </c>
    </row>
    <row r="520" spans="1:10" ht="12.75">
      <c r="A520" s="133" t="s">
        <v>189</v>
      </c>
      <c r="B520" s="134"/>
      <c r="C520" s="135"/>
      <c r="D520" s="140">
        <f>L104</f>
        <v>7026600</v>
      </c>
      <c r="E520" s="141">
        <f>N104</f>
        <v>1480000</v>
      </c>
      <c r="F520" s="141">
        <f>P104</f>
        <v>1815000</v>
      </c>
      <c r="G520" s="140">
        <f>Q104</f>
        <v>3162399.22702</v>
      </c>
      <c r="H520" s="141">
        <f>R104</f>
        <v>471644.92</v>
      </c>
      <c r="I520" s="140">
        <f>S104</f>
        <v>769260.9450000002</v>
      </c>
      <c r="J520" s="143">
        <f t="shared" si="96"/>
        <v>42.661070880677414</v>
      </c>
    </row>
    <row r="521" spans="1:10" ht="12.75">
      <c r="A521" s="133" t="s">
        <v>88</v>
      </c>
      <c r="B521" s="134"/>
      <c r="C521" s="135"/>
      <c r="D521" s="140">
        <f>L174</f>
        <v>56883125</v>
      </c>
      <c r="E521" s="141">
        <f>N174</f>
        <v>0</v>
      </c>
      <c r="F521" s="141">
        <f>P174</f>
        <v>0</v>
      </c>
      <c r="G521" s="140">
        <f>Q174</f>
        <v>23180764.753299996</v>
      </c>
      <c r="H521" s="141">
        <f>R174</f>
        <v>0</v>
      </c>
      <c r="I521" s="140">
        <f>S174</f>
        <v>0</v>
      </c>
      <c r="J521" s="143">
        <f t="shared" si="96"/>
        <v>40.751566924812934</v>
      </c>
    </row>
    <row r="522" spans="1:10" ht="12.75">
      <c r="A522" s="133" t="s">
        <v>89</v>
      </c>
      <c r="B522" s="134"/>
      <c r="C522" s="135"/>
      <c r="D522" s="140">
        <f>L298</f>
        <v>42546387</v>
      </c>
      <c r="E522" s="141">
        <f>N298</f>
        <v>4644459.7875</v>
      </c>
      <c r="F522" s="141">
        <f>P298</f>
        <v>25000</v>
      </c>
      <c r="G522" s="140">
        <f>Q298</f>
        <v>27838430.576227</v>
      </c>
      <c r="H522" s="141">
        <f>R298</f>
        <v>2804820.477550313</v>
      </c>
      <c r="I522" s="140">
        <f>S298</f>
        <v>24450.55</v>
      </c>
      <c r="J522" s="143">
        <f t="shared" si="96"/>
        <v>64.9521372385856</v>
      </c>
    </row>
    <row r="523" spans="1:10" ht="12.75">
      <c r="A523" s="133" t="s">
        <v>57</v>
      </c>
      <c r="B523" s="134"/>
      <c r="C523" s="135"/>
      <c r="D523" s="140">
        <f>L329</f>
        <v>47852610</v>
      </c>
      <c r="E523" s="141">
        <f>N329</f>
        <v>600000</v>
      </c>
      <c r="F523" s="141">
        <f>P329</f>
        <v>500000</v>
      </c>
      <c r="G523" s="140">
        <f>Q329</f>
        <v>16548581.000639997</v>
      </c>
      <c r="H523" s="141">
        <f>R329</f>
        <v>296349</v>
      </c>
      <c r="I523" s="140">
        <f>S329</f>
        <v>172912</v>
      </c>
      <c r="J523" s="143">
        <f t="shared" si="96"/>
        <v>34.76391146588506</v>
      </c>
    </row>
    <row r="524" spans="1:10" ht="12.75">
      <c r="A524" s="133" t="s">
        <v>12</v>
      </c>
      <c r="B524" s="134"/>
      <c r="C524" s="135"/>
      <c r="D524" s="140">
        <f>E339</f>
        <v>116399131.46666667</v>
      </c>
      <c r="E524" s="141"/>
      <c r="F524" s="141"/>
      <c r="G524" s="140">
        <f>J339</f>
        <v>1163991.3146666668</v>
      </c>
      <c r="H524" s="141"/>
      <c r="I524" s="144"/>
      <c r="J524" s="143">
        <f t="shared" si="96"/>
        <v>1</v>
      </c>
    </row>
    <row r="525" spans="1:10" ht="12.75">
      <c r="A525" s="133" t="s">
        <v>152</v>
      </c>
      <c r="B525" s="134"/>
      <c r="C525" s="135"/>
      <c r="D525" s="140">
        <f>L363</f>
        <v>22538295</v>
      </c>
      <c r="E525" s="141">
        <f>N363</f>
        <v>0</v>
      </c>
      <c r="F525" s="141">
        <f>P363</f>
        <v>0</v>
      </c>
      <c r="G525" s="140">
        <f>Q363</f>
        <v>15157386.538515002</v>
      </c>
      <c r="H525" s="141">
        <f>R363</f>
        <v>0</v>
      </c>
      <c r="I525" s="144">
        <f>S363</f>
        <v>0</v>
      </c>
      <c r="J525" s="143">
        <f t="shared" si="96"/>
        <v>67.2517</v>
      </c>
    </row>
    <row r="526" spans="1:10" ht="12.75">
      <c r="A526" s="133" t="s">
        <v>171</v>
      </c>
      <c r="B526" s="134"/>
      <c r="C526" s="135" t="s">
        <v>154</v>
      </c>
      <c r="D526" s="140">
        <f>C383</f>
        <v>218647000</v>
      </c>
      <c r="E526" s="141"/>
      <c r="F526" s="141"/>
      <c r="G526" s="140">
        <f>H383</f>
        <v>109323500</v>
      </c>
      <c r="H526" s="141"/>
      <c r="I526" s="144"/>
      <c r="J526" s="143">
        <f t="shared" si="96"/>
        <v>50</v>
      </c>
    </row>
    <row r="527" spans="1:10" ht="12.75">
      <c r="A527" s="133"/>
      <c r="B527" s="134"/>
      <c r="C527" s="135" t="s">
        <v>244</v>
      </c>
      <c r="D527" s="140">
        <f>C403</f>
        <v>229439826.78451693</v>
      </c>
      <c r="E527" s="141"/>
      <c r="F527" s="141"/>
      <c r="G527" s="140">
        <f>H403</f>
        <v>114719913.39225847</v>
      </c>
      <c r="H527" s="141"/>
      <c r="I527" s="144"/>
      <c r="J527" s="143">
        <f t="shared" si="96"/>
        <v>50</v>
      </c>
    </row>
    <row r="528" spans="1:10" ht="12.75">
      <c r="A528" s="133"/>
      <c r="B528" s="134"/>
      <c r="C528" s="135" t="s">
        <v>155</v>
      </c>
      <c r="D528" s="140">
        <f>C423</f>
        <v>5630272.721731179</v>
      </c>
      <c r="E528" s="141"/>
      <c r="F528" s="141"/>
      <c r="G528" s="140">
        <f>H423</f>
        <v>2815136.3608655897</v>
      </c>
      <c r="H528" s="141"/>
      <c r="I528" s="144"/>
      <c r="J528" s="143">
        <f t="shared" si="96"/>
        <v>50</v>
      </c>
    </row>
    <row r="529" spans="1:10" ht="12.75">
      <c r="A529" s="133"/>
      <c r="B529" s="134"/>
      <c r="C529" s="135" t="s">
        <v>156</v>
      </c>
      <c r="D529" s="140">
        <f>C443</f>
        <v>1173476.3791526975</v>
      </c>
      <c r="E529" s="141"/>
      <c r="F529" s="141"/>
      <c r="G529" s="140">
        <f>H443</f>
        <v>586738.1895763488</v>
      </c>
      <c r="H529" s="141"/>
      <c r="I529" s="144"/>
      <c r="J529" s="143">
        <f t="shared" si="96"/>
        <v>50</v>
      </c>
    </row>
    <row r="530" spans="1:10" ht="12.75">
      <c r="A530" s="133"/>
      <c r="B530" s="134"/>
      <c r="C530" s="135" t="s">
        <v>157</v>
      </c>
      <c r="D530" s="140">
        <f>C463</f>
        <v>2747788.601036269</v>
      </c>
      <c r="E530" s="141"/>
      <c r="F530" s="141"/>
      <c r="G530" s="140">
        <f>H463</f>
        <v>1373894.3005181346</v>
      </c>
      <c r="H530" s="141"/>
      <c r="I530" s="144"/>
      <c r="J530" s="143">
        <f t="shared" si="96"/>
        <v>50</v>
      </c>
    </row>
    <row r="531" spans="1:10" ht="12.75">
      <c r="A531" s="133" t="s">
        <v>236</v>
      </c>
      <c r="B531" s="134"/>
      <c r="C531" s="135" t="s">
        <v>154</v>
      </c>
      <c r="D531" s="140">
        <f>C477</f>
        <v>23380000</v>
      </c>
      <c r="E531" s="141"/>
      <c r="F531" s="141"/>
      <c r="G531" s="140">
        <f>H477</f>
        <v>11690000</v>
      </c>
      <c r="H531" s="141"/>
      <c r="I531" s="144"/>
      <c r="J531" s="143">
        <f t="shared" si="96"/>
        <v>50</v>
      </c>
    </row>
    <row r="532" spans="1:10" ht="12.75">
      <c r="A532" s="133"/>
      <c r="B532" s="134"/>
      <c r="C532" s="135" t="s">
        <v>172</v>
      </c>
      <c r="D532" s="140">
        <f>C490</f>
        <v>1271509.2</v>
      </c>
      <c r="E532" s="141"/>
      <c r="F532" s="141"/>
      <c r="G532" s="140">
        <f>H490</f>
        <v>635754.6</v>
      </c>
      <c r="H532" s="141"/>
      <c r="I532" s="144"/>
      <c r="J532" s="143">
        <f t="shared" si="96"/>
        <v>50</v>
      </c>
    </row>
    <row r="533" spans="1:10" ht="12.75">
      <c r="A533" s="133"/>
      <c r="B533" s="134"/>
      <c r="C533" s="135" t="s">
        <v>188</v>
      </c>
      <c r="D533" s="140">
        <f>K504</f>
        <v>201000000</v>
      </c>
      <c r="E533" s="141"/>
      <c r="F533" s="145"/>
      <c r="G533" s="140">
        <f>L504</f>
        <v>13893442.435781132</v>
      </c>
      <c r="H533" s="145"/>
      <c r="I533" s="144"/>
      <c r="J533" s="143">
        <f t="shared" si="96"/>
        <v>6.91216041581151</v>
      </c>
    </row>
    <row r="534" spans="1:10" ht="12.75">
      <c r="A534" s="146" t="s">
        <v>237</v>
      </c>
      <c r="B534" s="147"/>
      <c r="C534" s="148"/>
      <c r="D534" s="149">
        <f aca="true" t="shared" si="97" ref="D534:I534">SUM(D518:D533)</f>
        <v>1164585392.1531038</v>
      </c>
      <c r="E534" s="149">
        <f t="shared" si="97"/>
        <v>24874459.7875</v>
      </c>
      <c r="F534" s="149">
        <f t="shared" si="97"/>
        <v>9440000</v>
      </c>
      <c r="G534" s="149">
        <f t="shared" si="97"/>
        <v>402398986.8381684</v>
      </c>
      <c r="H534" s="149">
        <f t="shared" si="97"/>
        <v>5730303.247550312</v>
      </c>
      <c r="I534" s="149">
        <f t="shared" si="97"/>
        <v>3584435.1950000003</v>
      </c>
      <c r="J534" s="39">
        <f t="shared" si="96"/>
        <v>34.34096055765598</v>
      </c>
    </row>
    <row r="536" spans="6:9" ht="12.75">
      <c r="F536" s="164"/>
      <c r="I536" s="164"/>
    </row>
  </sheetData>
  <mergeCells count="19">
    <mergeCell ref="A1:J1"/>
    <mergeCell ref="B80:D80"/>
    <mergeCell ref="B90:D90"/>
    <mergeCell ref="B316:D316"/>
    <mergeCell ref="A6:B6"/>
    <mergeCell ref="C3:D3"/>
    <mergeCell ref="A4:B4"/>
    <mergeCell ref="A5:B5"/>
    <mergeCell ref="A3:B3"/>
    <mergeCell ref="A515:C515"/>
    <mergeCell ref="A517:C517"/>
    <mergeCell ref="H3:I3"/>
    <mergeCell ref="F4:G4"/>
    <mergeCell ref="F5:G5"/>
    <mergeCell ref="F6:G6"/>
    <mergeCell ref="F3:G3"/>
    <mergeCell ref="B325:D325"/>
    <mergeCell ref="B306:D306"/>
    <mergeCell ref="B70:E70"/>
  </mergeCells>
  <printOptions/>
  <pageMargins left="0.25" right="0.25" top="0.5" bottom="0.5" header="0.5" footer="0.5"/>
  <pageSetup horizontalDpi="600" verticalDpi="600" orientation="landscape" paperSize="5" scale="80" r:id="rId35"/>
  <rowBreaks count="14" manualBreakCount="14">
    <brk id="28" max="18" man="1"/>
    <brk id="63" max="18" man="1"/>
    <brk id="104" max="18" man="1"/>
    <brk id="141" max="255" man="1"/>
    <brk id="175" max="255" man="1"/>
    <brk id="208" max="255" man="1"/>
    <brk id="238" max="18" man="1"/>
    <brk id="270" max="255" man="1"/>
    <brk id="300" max="18" man="1"/>
    <brk id="340" max="18" man="1"/>
    <brk id="385" max="18" man="1"/>
    <brk id="405" max="18" man="1"/>
    <brk id="445" max="18" man="1"/>
    <brk id="492" max="18" man="1"/>
  </rowBreaks>
  <legacyDrawing r:id="rId34"/>
  <oleObjects>
    <oleObject progId="Equation.3" shapeId="300396" r:id="rId1"/>
    <oleObject progId="Equation.3" shapeId="300398" r:id="rId2"/>
    <oleObject progId="Equation.3" shapeId="300401" r:id="rId3"/>
    <oleObject progId="Equation.3" shapeId="300927" r:id="rId4"/>
    <oleObject progId="Equation.3" shapeId="300929" r:id="rId5"/>
    <oleObject progId="Equation.3" shapeId="300933" r:id="rId6"/>
    <oleObject progId="Equation.3" shapeId="301266" r:id="rId7"/>
    <oleObject progId="Equation.3" shapeId="301268" r:id="rId8"/>
    <oleObject progId="Equation.3" shapeId="301270" r:id="rId9"/>
    <oleObject progId="Equation.3" shapeId="301570" r:id="rId10"/>
    <oleObject progId="Equation.3" shapeId="301571" r:id="rId11"/>
    <oleObject progId="Equation.3" shapeId="301573" r:id="rId12"/>
    <oleObject progId="Equation.3" shapeId="301919" r:id="rId13"/>
    <oleObject progId="Equation.3" shapeId="301921" r:id="rId14"/>
    <oleObject progId="Equation.3" shapeId="301923" r:id="rId15"/>
    <oleObject progId="Equation.3" shapeId="302158" r:id="rId16"/>
    <oleObject progId="Equation.3" shapeId="302162" r:id="rId17"/>
    <oleObject progId="Equation.3" shapeId="302164" r:id="rId18"/>
    <oleObject progId="Equation.3" shapeId="302450" r:id="rId19"/>
    <oleObject progId="Equation.3" shapeId="302453" r:id="rId20"/>
    <oleObject progId="Equation.3" shapeId="302455" r:id="rId21"/>
    <oleObject progId="Equation.3" shapeId="302690" r:id="rId22"/>
    <oleObject progId="Equation.3" shapeId="302692" r:id="rId23"/>
    <oleObject progId="Equation.3" shapeId="302694" r:id="rId24"/>
    <oleObject progId="Equation.3" shapeId="302938" r:id="rId25"/>
    <oleObject progId="Equation.3" shapeId="302941" r:id="rId26"/>
    <oleObject progId="Equation.3" shapeId="302945" r:id="rId27"/>
    <oleObject progId="Equation.3" shapeId="303154" r:id="rId28"/>
    <oleObject progId="Equation.3" shapeId="303155" r:id="rId29"/>
    <oleObject progId="Equation.3" shapeId="303157" r:id="rId30"/>
    <oleObject progId="Equation.3" shapeId="303462" r:id="rId31"/>
    <oleObject progId="Equation.3" shapeId="303464" r:id="rId32"/>
    <oleObject progId="Equation.3" shapeId="303466" r:id="rId3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Sanghyun Choi</dc:creator>
  <cp:keywords/>
  <dc:description/>
  <cp:lastModifiedBy>Sanghyun Choi</cp:lastModifiedBy>
  <cp:lastPrinted>1999-06-24T19:46:42Z</cp:lastPrinted>
  <dcterms:created xsi:type="dcterms:W3CDTF">1999-04-28T17:29:44Z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